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59" activeTab="5"/>
  </bookViews>
  <sheets>
    <sheet name="Försätt" sheetId="1" r:id="rId1"/>
    <sheet name="Inv" sheetId="2" r:id="rId2"/>
    <sheet name="Tot" sheetId="3" r:id="rId3"/>
    <sheet name="Don-AD" sheetId="4" r:id="rId4"/>
    <sheet name="Don AD PMI+per 10000 avl" sheetId="5" r:id="rId5"/>
    <sheet name="Don-LD" sheetId="6" r:id="rId6"/>
    <sheet name="Nj" sheetId="7" r:id="rId7"/>
    <sheet name="Nj-AD+LD" sheetId="8" r:id="rId8"/>
    <sheet name="Pa" sheetId="9" r:id="rId9"/>
    <sheet name="P-öar" sheetId="10" r:id="rId10"/>
    <sheet name="Le" sheetId="11" r:id="rId11"/>
    <sheet name="Le-AD+LD+Dom" sheetId="12" r:id="rId12"/>
    <sheet name="Hj" sheetId="13" r:id="rId13"/>
    <sheet name="Lu" sheetId="14" r:id="rId14"/>
    <sheet name="Lu-SL+DL" sheetId="15" r:id="rId15"/>
    <sheet name="Hj-Lu" sheetId="16" r:id="rId16"/>
    <sheet name="Tarm" sheetId="17" r:id="rId17"/>
    <sheet name="Blad1" sheetId="18" r:id="rId18"/>
    <sheet name="Blad2" sheetId="19" r:id="rId19"/>
  </sheets>
  <definedNames>
    <definedName name="_xlnm.Print_Titles" localSheetId="4">'Don AD PMI+per 10000 avl'!$A:$C,'Don AD PMI+per 10000 avl'!$1:$2</definedName>
    <definedName name="_xlnm.Print_Titles" localSheetId="3">'Don-AD'!$A:$C,'Don-AD'!$1:$2</definedName>
    <definedName name="_xlnm.Print_Titles" localSheetId="5">'Don-LD'!$A:$B,'Don-LD'!$1:$2</definedName>
    <definedName name="_xlnm.Print_Titles" localSheetId="12">'Hj'!$A:$B,'Hj'!$1:$2</definedName>
    <definedName name="_xlnm.Print_Titles" localSheetId="15">'Hj-Lu'!$A:$B,'Hj-Lu'!$1:$2</definedName>
    <definedName name="_xlnm.Print_Titles" localSheetId="10">'Le'!$A:$B,'Le'!$1:$2</definedName>
    <definedName name="_xlnm.Print_Titles" localSheetId="11">'Le-AD+LD+Dom'!$A:$B,'Le-AD+LD+Dom'!$1:$2</definedName>
    <definedName name="_xlnm.Print_Titles" localSheetId="13">'Lu'!$A:$B,'Lu'!$1:$2</definedName>
    <definedName name="_xlnm.Print_Titles" localSheetId="14">'Lu-SL+DL'!$A:$A,'Lu-SL+DL'!$1:$2</definedName>
    <definedName name="_xlnm.Print_Titles" localSheetId="6">'Nj'!$A:$B,'Nj'!$1:$2</definedName>
    <definedName name="_xlnm.Print_Titles" localSheetId="7">'Nj-AD+LD'!$A:$B,'Nj-AD+LD'!$1:$2</definedName>
    <definedName name="_xlnm.Print_Titles" localSheetId="8">'Pa'!$A:$B,'Pa'!$1:$2</definedName>
    <definedName name="_xlnm.Print_Titles" localSheetId="9">'P-öar'!$A:$B,'P-öar'!$1:$2</definedName>
    <definedName name="_xlnm.Print_Titles" localSheetId="16">'Tarm'!$A:$B,'Tarm'!$1:$2</definedName>
    <definedName name="_xlnm.Print_Titles" localSheetId="2">'Tot'!$A:$B,'Tot'!$1:$2</definedName>
  </definedNames>
  <calcPr fullCalcOnLoad="1"/>
</workbook>
</file>

<file path=xl/sharedStrings.xml><?xml version="1.0" encoding="utf-8"?>
<sst xmlns="http://schemas.openxmlformats.org/spreadsheetml/2006/main" count="348" uniqueCount="68">
  <si>
    <t>Per år</t>
  </si>
  <si>
    <t>Totalt</t>
  </si>
  <si>
    <t>LD</t>
  </si>
  <si>
    <t>LD tot</t>
  </si>
  <si>
    <t>Stockholm</t>
  </si>
  <si>
    <t>Uppsala</t>
  </si>
  <si>
    <t>Göteborg</t>
  </si>
  <si>
    <t>Malmö</t>
  </si>
  <si>
    <t>Sverige</t>
  </si>
  <si>
    <t>År</t>
  </si>
  <si>
    <t>Domino</t>
  </si>
  <si>
    <t>Domino tot</t>
  </si>
  <si>
    <t>Lund</t>
  </si>
  <si>
    <t>SL tot</t>
  </si>
  <si>
    <t>DL tot</t>
  </si>
  <si>
    <t>Pancreas</t>
  </si>
  <si>
    <t>P-öar</t>
  </si>
  <si>
    <t>Hjärta</t>
  </si>
  <si>
    <t>Hjärt-Lung</t>
  </si>
  <si>
    <t>Tarm</t>
  </si>
  <si>
    <t>4*</t>
  </si>
  <si>
    <t>5*</t>
  </si>
  <si>
    <t>Svensk Transplantationsförening</t>
  </si>
  <si>
    <t>Transplantationsregister</t>
  </si>
  <si>
    <t>Ann-Christin Croon</t>
  </si>
  <si>
    <t>Transplantationskoordinator</t>
  </si>
  <si>
    <t>Antal invånare i respektive region</t>
  </si>
  <si>
    <t>milj inv</t>
  </si>
  <si>
    <t>SVERIGE</t>
  </si>
  <si>
    <t>Danmark</t>
  </si>
  <si>
    <t>Finland</t>
  </si>
  <si>
    <t>Norge</t>
  </si>
  <si>
    <t>Island</t>
  </si>
  <si>
    <t>inv</t>
  </si>
  <si>
    <t>* f.o.m. 2001 övergick Södermanland från Stockholm till Uppsala</t>
  </si>
  <si>
    <r>
      <t>*)</t>
    </r>
    <r>
      <rPr>
        <sz val="10"/>
        <rFont val="Arial"/>
        <family val="2"/>
      </rPr>
      <t xml:space="preserve"> Donatorer fr. Island (ej inräknade i totalsumman)</t>
    </r>
  </si>
  <si>
    <t>Uppsala *</t>
  </si>
  <si>
    <t>AD</t>
  </si>
  <si>
    <t>AD tot</t>
  </si>
  <si>
    <t>3*</t>
  </si>
  <si>
    <t>2*</t>
  </si>
  <si>
    <t>Karolinska Universitetssjukhuset, Huddinge</t>
  </si>
  <si>
    <r>
      <t xml:space="preserve">2014 </t>
    </r>
    <r>
      <rPr>
        <b/>
        <sz val="10"/>
        <color indexed="10"/>
        <rFont val="Arial"/>
        <family val="2"/>
      </rPr>
      <t>*)</t>
    </r>
  </si>
  <si>
    <t>*) Fram till 2013 räknas endast första transplantationen/patient, därefter räknas alla ö-cellstransplantationer</t>
  </si>
  <si>
    <t>12*</t>
  </si>
  <si>
    <t>8*</t>
  </si>
  <si>
    <t>ann-christin.croon@sll.se</t>
  </si>
  <si>
    <t>6*</t>
  </si>
  <si>
    <t>AD DBD</t>
  </si>
  <si>
    <t>AD DCD</t>
  </si>
  <si>
    <t>DCD per år</t>
  </si>
  <si>
    <t>DBD per år</t>
  </si>
  <si>
    <t>Singel DBD</t>
  </si>
  <si>
    <t>Dubbel DBD</t>
  </si>
  <si>
    <t>DCD S+D</t>
  </si>
  <si>
    <t>DCD tot</t>
  </si>
  <si>
    <r>
      <rPr>
        <b/>
        <sz val="11"/>
        <rFont val="Arial"/>
        <family val="2"/>
      </rPr>
      <t>Njurdonator</t>
    </r>
    <r>
      <rPr>
        <b/>
        <sz val="12"/>
        <rFont val="Arial"/>
        <family val="2"/>
      </rPr>
      <t xml:space="preserve">  </t>
    </r>
    <r>
      <rPr>
        <b/>
        <sz val="8"/>
        <rFont val="Arial"/>
        <family val="2"/>
      </rPr>
      <t>(LD)</t>
    </r>
  </si>
  <si>
    <r>
      <rPr>
        <b/>
        <sz val="11"/>
        <rFont val="Arial"/>
        <family val="2"/>
      </rPr>
      <t xml:space="preserve">Donator      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(DBD+DCD)</t>
    </r>
  </si>
  <si>
    <r>
      <rPr>
        <b/>
        <sz val="11"/>
        <rFont val="Arial"/>
        <family val="2"/>
      </rPr>
      <t>Njure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(DBD+DCD+LD)</t>
    </r>
  </si>
  <si>
    <r>
      <t xml:space="preserve">Lungor </t>
    </r>
    <r>
      <rPr>
        <b/>
        <sz val="8"/>
        <rFont val="Arial"/>
        <family val="2"/>
      </rPr>
      <t>(DBD+DCD)</t>
    </r>
  </si>
  <si>
    <t>PMI</t>
  </si>
  <si>
    <t>Per         10 000 avl.</t>
  </si>
  <si>
    <t>10*</t>
  </si>
  <si>
    <t>Estonia</t>
  </si>
  <si>
    <t>7*</t>
  </si>
  <si>
    <r>
      <t xml:space="preserve">Lever  </t>
    </r>
    <r>
      <rPr>
        <b/>
        <sz val="8"/>
        <rFont val="Arial"/>
        <family val="2"/>
      </rPr>
      <t>(DBD+LD)</t>
    </r>
  </si>
  <si>
    <t>1964 - 2020</t>
  </si>
  <si>
    <t>*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</si>
</sst>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\ &quot;kr&quot;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7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21"/>
      <name val="Verdana"/>
      <family val="2"/>
    </font>
    <font>
      <sz val="22"/>
      <color indexed="21"/>
      <name val="Verdana"/>
      <family val="2"/>
    </font>
    <font>
      <sz val="18"/>
      <color indexed="21"/>
      <name val="Verdana"/>
      <family val="2"/>
    </font>
    <font>
      <sz val="10"/>
      <color indexed="21"/>
      <name val="Verdana"/>
      <family val="2"/>
    </font>
    <font>
      <b/>
      <sz val="8"/>
      <color indexed="21"/>
      <name val="Verdana"/>
      <family val="2"/>
    </font>
    <font>
      <sz val="14"/>
      <color indexed="21"/>
      <name val="Verdana"/>
      <family val="2"/>
    </font>
    <font>
      <u val="single"/>
      <sz val="16"/>
      <color indexed="21"/>
      <name val="Verdana"/>
      <family val="2"/>
    </font>
    <font>
      <b/>
      <sz val="16"/>
      <color indexed="21"/>
      <name val="Verdana"/>
      <family val="2"/>
    </font>
    <font>
      <b/>
      <sz val="14"/>
      <color indexed="21"/>
      <name val="Verdana"/>
      <family val="2"/>
    </font>
    <font>
      <b/>
      <sz val="10"/>
      <color indexed="21"/>
      <name val="Verdana"/>
      <family val="2"/>
    </font>
    <font>
      <sz val="10"/>
      <color indexed="8"/>
      <name val="Arial"/>
      <family val="2"/>
    </font>
    <font>
      <sz val="9"/>
      <name val="Verdana"/>
      <family val="2"/>
    </font>
    <font>
      <b/>
      <sz val="10"/>
      <color indexed="8"/>
      <name val="Arial"/>
      <family val="2"/>
    </font>
    <font>
      <b/>
      <i/>
      <sz val="12"/>
      <color indexed="10"/>
      <name val="Verdana"/>
      <family val="2"/>
    </font>
    <font>
      <b/>
      <sz val="36"/>
      <color indexed="21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Verdana"/>
      <family val="2"/>
    </font>
    <font>
      <sz val="12"/>
      <color indexed="8"/>
      <name val="Verdana"/>
      <family val="2"/>
    </font>
    <font>
      <sz val="28"/>
      <color indexed="21"/>
      <name val="Verdana"/>
      <family val="2"/>
    </font>
    <font>
      <sz val="8"/>
      <color indexed="10"/>
      <name val="Arial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Verdana"/>
      <family val="2"/>
    </font>
    <font>
      <b/>
      <sz val="8"/>
      <color rgb="FF008080"/>
      <name val="Verdana"/>
      <family val="2"/>
    </font>
    <font>
      <sz val="12"/>
      <color rgb="FF000000"/>
      <name val="Verdana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28"/>
      <color rgb="FF008080"/>
      <name val="Verdana"/>
      <family val="2"/>
    </font>
    <font>
      <sz val="16"/>
      <color rgb="FF008080"/>
      <name val="Verdan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 style="double">
        <color indexed="21"/>
      </top>
      <bottom style="double">
        <color indexed="21"/>
      </bottom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2" applyNumberFormat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31" borderId="3" applyNumberFormat="0" applyAlignment="0" applyProtection="0"/>
    <xf numFmtId="0" fontId="57" fillId="0" borderId="4" applyNumberFormat="0" applyFill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2" fillId="33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3" fontId="0" fillId="0" borderId="22" xfId="0" applyNumberFormat="1" applyBorder="1" applyAlignment="1">
      <alignment horizontal="right"/>
    </xf>
    <xf numFmtId="0" fontId="2" fillId="33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8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3" fontId="0" fillId="0" borderId="36" xfId="0" applyNumberForma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9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4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18" fillId="0" borderId="15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18" fillId="0" borderId="16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3" fontId="0" fillId="0" borderId="29" xfId="0" applyNumberFormat="1" applyFill="1" applyBorder="1" applyAlignment="1">
      <alignment horizontal="center"/>
    </xf>
    <xf numFmtId="0" fontId="11" fillId="0" borderId="0" xfId="0" applyFont="1" applyBorder="1" applyAlignment="1">
      <alignment/>
    </xf>
    <xf numFmtId="0" fontId="22" fillId="0" borderId="49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15" xfId="0" applyFont="1" applyBorder="1" applyAlignment="1">
      <alignment horizontal="center"/>
    </xf>
    <xf numFmtId="3" fontId="18" fillId="0" borderId="29" xfId="0" applyNumberFormat="1" applyFont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27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29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66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1" fillId="0" borderId="29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20" fillId="0" borderId="25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18" fillId="0" borderId="0" xfId="0" applyFont="1" applyFill="1" applyAlignment="1">
      <alignment/>
    </xf>
    <xf numFmtId="3" fontId="0" fillId="0" borderId="29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69" fillId="0" borderId="15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0" fillId="0" borderId="15" xfId="0" applyFont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left"/>
    </xf>
    <xf numFmtId="0" fontId="71" fillId="0" borderId="50" xfId="0" applyFont="1" applyFill="1" applyBorder="1" applyAlignment="1">
      <alignment/>
    </xf>
    <xf numFmtId="0" fontId="72" fillId="0" borderId="5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4" fontId="66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67" fillId="0" borderId="0" xfId="0" applyFont="1" applyFill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3" fontId="0" fillId="0" borderId="53" xfId="0" applyNumberFormat="1" applyBorder="1" applyAlignment="1">
      <alignment horizontal="right"/>
    </xf>
    <xf numFmtId="0" fontId="20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3" borderId="20" xfId="50" applyFont="1" applyFill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0" fontId="1" fillId="0" borderId="40" xfId="50" applyFont="1" applyBorder="1" applyAlignment="1">
      <alignment horizontal="center" vertical="center" wrapText="1"/>
      <protection/>
    </xf>
    <xf numFmtId="0" fontId="1" fillId="0" borderId="37" xfId="50" applyFont="1" applyBorder="1" applyAlignment="1">
      <alignment horizontal="center" vertical="center" wrapText="1"/>
      <protection/>
    </xf>
    <xf numFmtId="0" fontId="1" fillId="0" borderId="38" xfId="50" applyFont="1" applyBorder="1" applyAlignment="1">
      <alignment horizontal="center" vertical="center" wrapText="1"/>
      <protection/>
    </xf>
    <xf numFmtId="0" fontId="1" fillId="0" borderId="0" xfId="50" applyFont="1" applyAlignment="1">
      <alignment wrapText="1"/>
      <protection/>
    </xf>
    <xf numFmtId="0" fontId="1" fillId="0" borderId="15" xfId="50" applyFont="1" applyBorder="1" applyAlignment="1">
      <alignment horizontal="center"/>
      <protection/>
    </xf>
    <xf numFmtId="0" fontId="1" fillId="0" borderId="13" xfId="50" applyFont="1" applyBorder="1" applyAlignment="1">
      <alignment horizontal="center"/>
      <protection/>
    </xf>
    <xf numFmtId="3" fontId="0" fillId="0" borderId="16" xfId="50" applyNumberFormat="1" applyBorder="1" applyAlignment="1">
      <alignment horizontal="center"/>
      <protection/>
    </xf>
    <xf numFmtId="3" fontId="0" fillId="0" borderId="13" xfId="50" applyNumberFormat="1" applyBorder="1" applyAlignment="1">
      <alignment horizontal="center"/>
      <protection/>
    </xf>
    <xf numFmtId="3" fontId="0" fillId="0" borderId="15" xfId="50" applyNumberFormat="1" applyBorder="1" applyAlignment="1">
      <alignment horizontal="center"/>
      <protection/>
    </xf>
    <xf numFmtId="3" fontId="0" fillId="0" borderId="29" xfId="50" applyNumberFormat="1" applyBorder="1" applyAlignment="1">
      <alignment horizontal="center"/>
      <protection/>
    </xf>
    <xf numFmtId="0" fontId="0" fillId="0" borderId="0" xfId="50">
      <alignment/>
      <protection/>
    </xf>
    <xf numFmtId="3" fontId="0" fillId="0" borderId="29" xfId="50" applyNumberFormat="1" applyFont="1" applyBorder="1" applyAlignment="1">
      <alignment horizontal="center"/>
      <protection/>
    </xf>
    <xf numFmtId="165" fontId="0" fillId="0" borderId="29" xfId="50" applyNumberFormat="1" applyFont="1" applyBorder="1" applyAlignment="1">
      <alignment horizontal="center"/>
      <protection/>
    </xf>
    <xf numFmtId="0" fontId="1" fillId="0" borderId="18" xfId="50" applyFont="1" applyBorder="1" applyAlignment="1">
      <alignment horizontal="center"/>
      <protection/>
    </xf>
    <xf numFmtId="0" fontId="1" fillId="0" borderId="17" xfId="50" applyFont="1" applyBorder="1" applyAlignment="1">
      <alignment horizontal="center"/>
      <protection/>
    </xf>
    <xf numFmtId="3" fontId="0" fillId="0" borderId="19" xfId="50" applyNumberFormat="1" applyBorder="1" applyAlignment="1">
      <alignment horizontal="center"/>
      <protection/>
    </xf>
    <xf numFmtId="3" fontId="0" fillId="0" borderId="17" xfId="50" applyNumberFormat="1" applyBorder="1" applyAlignment="1">
      <alignment horizontal="center"/>
      <protection/>
    </xf>
    <xf numFmtId="3" fontId="0" fillId="0" borderId="18" xfId="50" applyNumberFormat="1" applyBorder="1" applyAlignment="1">
      <alignment horizontal="center"/>
      <protection/>
    </xf>
    <xf numFmtId="3" fontId="0" fillId="0" borderId="30" xfId="50" applyNumberFormat="1" applyBorder="1" applyAlignment="1">
      <alignment horizontal="center"/>
      <protection/>
    </xf>
    <xf numFmtId="165" fontId="0" fillId="0" borderId="30" xfId="50" applyNumberFormat="1" applyFont="1" applyBorder="1" applyAlignment="1">
      <alignment horizontal="center"/>
      <protection/>
    </xf>
    <xf numFmtId="164" fontId="0" fillId="0" borderId="13" xfId="50" applyNumberFormat="1" applyFont="1" applyBorder="1" applyAlignment="1">
      <alignment horizontal="center"/>
      <protection/>
    </xf>
    <xf numFmtId="164" fontId="0" fillId="0" borderId="16" xfId="50" applyNumberFormat="1" applyFont="1" applyBorder="1" applyAlignment="1">
      <alignment horizontal="center"/>
      <protection/>
    </xf>
    <xf numFmtId="164" fontId="0" fillId="0" borderId="15" xfId="50" applyNumberFormat="1" applyFont="1" applyBorder="1" applyAlignment="1">
      <alignment horizontal="center"/>
      <protection/>
    </xf>
    <xf numFmtId="164" fontId="0" fillId="0" borderId="29" xfId="50" applyNumberFormat="1" applyFont="1" applyBorder="1" applyAlignment="1">
      <alignment horizontal="center"/>
      <protection/>
    </xf>
    <xf numFmtId="0" fontId="0" fillId="0" borderId="0" xfId="50" applyBorder="1">
      <alignment/>
      <protection/>
    </xf>
    <xf numFmtId="0" fontId="0" fillId="0" borderId="13" xfId="50" applyFont="1" applyBorder="1" applyAlignment="1">
      <alignment horizontal="center"/>
      <protection/>
    </xf>
    <xf numFmtId="164" fontId="0" fillId="0" borderId="16" xfId="50" applyNumberFormat="1" applyFont="1" applyFill="1" applyBorder="1" applyAlignment="1">
      <alignment horizontal="center"/>
      <protection/>
    </xf>
    <xf numFmtId="164" fontId="0" fillId="0" borderId="13" xfId="50" applyNumberFormat="1" applyFont="1" applyFill="1" applyBorder="1" applyAlignment="1">
      <alignment horizontal="center"/>
      <protection/>
    </xf>
    <xf numFmtId="164" fontId="18" fillId="0" borderId="16" xfId="50" applyNumberFormat="1" applyFont="1" applyFill="1" applyBorder="1" applyAlignment="1">
      <alignment horizontal="center"/>
      <protection/>
    </xf>
    <xf numFmtId="164" fontId="18" fillId="0" borderId="29" xfId="50" applyNumberFormat="1" applyFont="1" applyBorder="1" applyAlignment="1">
      <alignment horizontal="center"/>
      <protection/>
    </xf>
    <xf numFmtId="1" fontId="0" fillId="0" borderId="0" xfId="50" applyNumberFormat="1">
      <alignment/>
      <protection/>
    </xf>
    <xf numFmtId="164" fontId="0" fillId="0" borderId="15" xfId="50" applyNumberFormat="1" applyFont="1" applyFill="1" applyBorder="1" applyAlignment="1">
      <alignment horizontal="center"/>
      <protection/>
    </xf>
    <xf numFmtId="0" fontId="1" fillId="0" borderId="15" xfId="50" applyFont="1" applyFill="1" applyBorder="1" applyAlignment="1">
      <alignment horizontal="center"/>
      <protection/>
    </xf>
    <xf numFmtId="0" fontId="20" fillId="0" borderId="15" xfId="50" applyFont="1" applyFill="1" applyBorder="1" applyAlignment="1">
      <alignment horizontal="center"/>
      <protection/>
    </xf>
    <xf numFmtId="164" fontId="18" fillId="0" borderId="13" xfId="50" applyNumberFormat="1" applyFont="1" applyBorder="1" applyAlignment="1">
      <alignment horizontal="center"/>
      <protection/>
    </xf>
    <xf numFmtId="164" fontId="18" fillId="0" borderId="16" xfId="50" applyNumberFormat="1" applyFont="1" applyBorder="1" applyAlignment="1">
      <alignment horizontal="center"/>
      <protection/>
    </xf>
    <xf numFmtId="164" fontId="18" fillId="0" borderId="13" xfId="50" applyNumberFormat="1" applyFont="1" applyFill="1" applyBorder="1" applyAlignment="1">
      <alignment horizontal="center"/>
      <protection/>
    </xf>
    <xf numFmtId="164" fontId="18" fillId="0" borderId="15" xfId="50" applyNumberFormat="1" applyFont="1" applyFill="1" applyBorder="1" applyAlignment="1">
      <alignment horizontal="center"/>
      <protection/>
    </xf>
    <xf numFmtId="0" fontId="18" fillId="0" borderId="0" xfId="50" applyFont="1">
      <alignment/>
      <protection/>
    </xf>
    <xf numFmtId="0" fontId="0" fillId="0" borderId="0" xfId="50" applyFont="1">
      <alignment/>
      <protection/>
    </xf>
    <xf numFmtId="0" fontId="70" fillId="0" borderId="15" xfId="50" applyFont="1" applyFill="1" applyBorder="1" applyAlignment="1">
      <alignment horizontal="center"/>
      <protection/>
    </xf>
    <xf numFmtId="164" fontId="1" fillId="0" borderId="13" xfId="50" applyNumberFormat="1" applyFont="1" applyBorder="1" applyAlignment="1">
      <alignment horizontal="center"/>
      <protection/>
    </xf>
    <xf numFmtId="164" fontId="1" fillId="0" borderId="13" xfId="50" applyNumberFormat="1" applyFont="1" applyFill="1" applyBorder="1" applyAlignment="1">
      <alignment horizontal="center"/>
      <protection/>
    </xf>
    <xf numFmtId="164" fontId="1" fillId="0" borderId="15" xfId="50" applyNumberFormat="1" applyFont="1" applyFill="1" applyBorder="1" applyAlignment="1">
      <alignment horizontal="center"/>
      <protection/>
    </xf>
    <xf numFmtId="164" fontId="1" fillId="0" borderId="16" xfId="50" applyNumberFormat="1" applyFont="1" applyFill="1" applyBorder="1" applyAlignment="1">
      <alignment horizontal="center"/>
      <protection/>
    </xf>
    <xf numFmtId="3" fontId="0" fillId="0" borderId="16" xfId="50" applyNumberFormat="1" applyBorder="1">
      <alignment/>
      <protection/>
    </xf>
    <xf numFmtId="3" fontId="0" fillId="0" borderId="13" xfId="50" applyNumberFormat="1" applyBorder="1" applyAlignment="1">
      <alignment horizontal="right"/>
      <protection/>
    </xf>
    <xf numFmtId="3" fontId="0" fillId="0" borderId="16" xfId="50" applyNumberFormat="1" applyBorder="1" applyAlignment="1">
      <alignment horizontal="right"/>
      <protection/>
    </xf>
    <xf numFmtId="0" fontId="0" fillId="0" borderId="13" xfId="50" applyBorder="1">
      <alignment/>
      <protection/>
    </xf>
    <xf numFmtId="0" fontId="0" fillId="0" borderId="15" xfId="50" applyBorder="1">
      <alignment/>
      <protection/>
    </xf>
    <xf numFmtId="0" fontId="0" fillId="0" borderId="29" xfId="50" applyBorder="1">
      <alignment/>
      <protection/>
    </xf>
    <xf numFmtId="0" fontId="0" fillId="0" borderId="16" xfId="50" applyBorder="1">
      <alignment/>
      <protection/>
    </xf>
    <xf numFmtId="3" fontId="0" fillId="0" borderId="19" xfId="50" applyNumberFormat="1" applyBorder="1">
      <alignment/>
      <protection/>
    </xf>
    <xf numFmtId="3" fontId="0" fillId="0" borderId="17" xfId="50" applyNumberFormat="1" applyBorder="1" applyAlignment="1">
      <alignment horizontal="right"/>
      <protection/>
    </xf>
    <xf numFmtId="3" fontId="0" fillId="0" borderId="19" xfId="50" applyNumberFormat="1" applyBorder="1" applyAlignment="1">
      <alignment horizontal="right"/>
      <protection/>
    </xf>
    <xf numFmtId="0" fontId="0" fillId="0" borderId="17" xfId="50" applyBorder="1">
      <alignment/>
      <protection/>
    </xf>
    <xf numFmtId="0" fontId="0" fillId="0" borderId="18" xfId="50" applyBorder="1">
      <alignment/>
      <protection/>
    </xf>
    <xf numFmtId="0" fontId="0" fillId="0" borderId="30" xfId="50" applyBorder="1">
      <alignment/>
      <protection/>
    </xf>
    <xf numFmtId="0" fontId="0" fillId="0" borderId="19" xfId="50" applyBorder="1">
      <alignment/>
      <protection/>
    </xf>
    <xf numFmtId="0" fontId="1" fillId="0" borderId="0" xfId="50" applyFont="1" applyAlignment="1">
      <alignment horizontal="center"/>
      <protection/>
    </xf>
    <xf numFmtId="0" fontId="1" fillId="0" borderId="0" xfId="50" applyFont="1" applyBorder="1" applyAlignment="1">
      <alignment horizontal="center"/>
      <protection/>
    </xf>
    <xf numFmtId="3" fontId="0" fillId="0" borderId="0" xfId="50" applyNumberFormat="1" applyBorder="1">
      <alignment/>
      <protection/>
    </xf>
    <xf numFmtId="0" fontId="3" fillId="0" borderId="0" xfId="50" applyFont="1" applyAlignment="1">
      <alignment horizontal="left"/>
      <protection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1" fontId="70" fillId="0" borderId="15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20" fillId="0" borderId="29" xfId="0" applyNumberFormat="1" applyFont="1" applyFill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6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1" fillId="0" borderId="18" xfId="0" applyNumberFormat="1" applyFont="1" applyBorder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30" xfId="0" applyNumberFormat="1" applyBorder="1" applyAlignment="1">
      <alignment horizontal="right"/>
    </xf>
    <xf numFmtId="1" fontId="0" fillId="0" borderId="3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29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20" fillId="0" borderId="13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14" fontId="75" fillId="0" borderId="0" xfId="0" applyNumberFormat="1" applyFont="1" applyAlignment="1">
      <alignment horizontal="right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6" fillId="33" borderId="54" xfId="0" applyFont="1" applyFill="1" applyBorder="1" applyAlignment="1">
      <alignment horizontal="center" vertical="center" wrapText="1"/>
    </xf>
    <xf numFmtId="0" fontId="26" fillId="33" borderId="52" xfId="0" applyFont="1" applyFill="1" applyBorder="1" applyAlignment="1">
      <alignment horizontal="center" vertical="center" wrapText="1"/>
    </xf>
    <xf numFmtId="0" fontId="26" fillId="33" borderId="55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4" xfId="50" applyFont="1" applyFill="1" applyBorder="1" applyAlignment="1">
      <alignment horizontal="center" vertical="center"/>
      <protection/>
    </xf>
    <xf numFmtId="0" fontId="2" fillId="33" borderId="31" xfId="50" applyFont="1" applyFill="1" applyBorder="1" applyAlignment="1">
      <alignment horizontal="center" vertical="center"/>
      <protection/>
    </xf>
    <xf numFmtId="0" fontId="2" fillId="33" borderId="20" xfId="0" applyFont="1" applyFill="1" applyBorder="1" applyAlignment="1">
      <alignment horizontal="center" vertical="center"/>
    </xf>
    <xf numFmtId="0" fontId="70" fillId="0" borderId="56" xfId="0" applyFont="1" applyBorder="1" applyAlignment="1">
      <alignment horizontal="left" vertical="center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1" name="Picture 1" descr="Svensk Transplantationsföre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23"/>
  <sheetViews>
    <sheetView showGridLines="0" zoomScalePageLayoutView="0" workbookViewId="0" topLeftCell="A1">
      <selection activeCell="I4" sqref="I4"/>
    </sheetView>
  </sheetViews>
  <sheetFormatPr defaultColWidth="9.140625" defaultRowHeight="12.75"/>
  <cols>
    <col min="1" max="11" width="9.140625" style="115" customWidth="1"/>
    <col min="12" max="12" width="22.00390625" style="115" bestFit="1" customWidth="1"/>
    <col min="13" max="16384" width="9.140625" style="115" customWidth="1"/>
  </cols>
  <sheetData>
    <row r="1" spans="1:12" ht="58.5" customHeight="1">
      <c r="A1"/>
      <c r="L1" s="257">
        <v>43921</v>
      </c>
    </row>
    <row r="2" spans="1:12" s="242" customFormat="1" ht="63.75" customHeight="1">
      <c r="A2" s="241" t="s">
        <v>22</v>
      </c>
      <c r="K2" s="376"/>
      <c r="L2" s="376"/>
    </row>
    <row r="3" spans="10:12" ht="19.5">
      <c r="J3" s="258"/>
      <c r="K3" s="376"/>
      <c r="L3" s="376"/>
    </row>
    <row r="4" spans="10:12" ht="19.5">
      <c r="J4" s="258"/>
      <c r="K4" s="258"/>
      <c r="L4" s="258"/>
    </row>
    <row r="6" ht="20.25" thickBot="1"/>
    <row r="7" spans="1:13" ht="46.5" thickTop="1">
      <c r="A7" s="162" t="s">
        <v>23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118"/>
    </row>
    <row r="8" spans="1:13" ht="27.75" thickBot="1">
      <c r="A8" s="119" t="s">
        <v>66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118"/>
    </row>
    <row r="9" ht="20.25" thickTop="1"/>
    <row r="13" ht="19.5">
      <c r="I13" s="235"/>
    </row>
    <row r="14" ht="19.5">
      <c r="I14" s="235"/>
    </row>
    <row r="15" ht="19.5">
      <c r="I15" s="235"/>
    </row>
    <row r="19" s="122" customFormat="1" ht="12" customHeight="1">
      <c r="J19" s="228" t="s">
        <v>24</v>
      </c>
    </row>
    <row r="20" s="122" customFormat="1" ht="12" customHeight="1">
      <c r="J20" s="123" t="s">
        <v>25</v>
      </c>
    </row>
    <row r="21" s="122" customFormat="1" ht="12" customHeight="1">
      <c r="J21" s="228" t="s">
        <v>41</v>
      </c>
    </row>
    <row r="22" s="122" customFormat="1" ht="12" customHeight="1">
      <c r="J22" s="259" t="s">
        <v>46</v>
      </c>
    </row>
    <row r="23" ht="19.5">
      <c r="L23" s="123"/>
    </row>
  </sheetData>
  <sheetProtection/>
  <mergeCells count="1">
    <mergeCell ref="K2:L3"/>
  </mergeCells>
  <printOptions/>
  <pageMargins left="0.75" right="0.75" top="0.52" bottom="0.6" header="0.3" footer="0.4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351"/>
  <sheetViews>
    <sheetView showGridLines="0" showZeros="0" zoomScalePageLayoutView="0" workbookViewId="0" topLeftCell="A1">
      <pane ySplit="1155" topLeftCell="A43" activePane="bottomLeft" state="split"/>
      <selection pane="topLeft" activeCell="B61" sqref="B61"/>
      <selection pane="bottomLeft" activeCell="F60" sqref="F60"/>
    </sheetView>
  </sheetViews>
  <sheetFormatPr defaultColWidth="9.140625" defaultRowHeight="12.75"/>
  <cols>
    <col min="1" max="1" width="7.57421875" style="1" customWidth="1"/>
    <col min="2" max="11" width="9.7109375" style="0" customWidth="1"/>
  </cols>
  <sheetData>
    <row r="1" spans="1:11" s="6" customFormat="1" ht="20.25" customHeight="1">
      <c r="A1" s="16"/>
      <c r="B1" s="389" t="s">
        <v>4</v>
      </c>
      <c r="C1" s="386"/>
      <c r="D1" s="383" t="s">
        <v>5</v>
      </c>
      <c r="E1" s="384"/>
      <c r="F1" s="383" t="s">
        <v>6</v>
      </c>
      <c r="G1" s="386"/>
      <c r="H1" s="383" t="s">
        <v>7</v>
      </c>
      <c r="I1" s="384"/>
      <c r="J1" s="383" t="s">
        <v>8</v>
      </c>
      <c r="K1" s="385"/>
    </row>
    <row r="2" spans="1:11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</row>
    <row r="3" spans="1:11" s="78" customFormat="1" ht="17.25" customHeight="1" thickTop="1">
      <c r="A3" s="236">
        <v>1964</v>
      </c>
      <c r="B3" s="62"/>
      <c r="C3" s="70"/>
      <c r="D3" s="62"/>
      <c r="E3" s="70"/>
      <c r="F3" s="62"/>
      <c r="G3" s="70"/>
      <c r="H3" s="71"/>
      <c r="I3" s="70"/>
      <c r="J3" s="62"/>
      <c r="K3" s="70"/>
    </row>
    <row r="4" spans="1:11" s="78" customFormat="1" ht="12.75">
      <c r="A4" s="236">
        <v>1965</v>
      </c>
      <c r="B4" s="62"/>
      <c r="C4" s="63"/>
      <c r="D4" s="62"/>
      <c r="E4" s="64"/>
      <c r="F4" s="62"/>
      <c r="G4" s="64"/>
      <c r="H4" s="62"/>
      <c r="I4" s="64"/>
      <c r="J4" s="62"/>
      <c r="K4" s="65"/>
    </row>
    <row r="5" spans="1:11" s="78" customFormat="1" ht="12.75">
      <c r="A5" s="236">
        <v>1966</v>
      </c>
      <c r="B5" s="62"/>
      <c r="C5" s="63"/>
      <c r="D5" s="62"/>
      <c r="E5" s="64"/>
      <c r="F5" s="62"/>
      <c r="G5" s="64"/>
      <c r="H5" s="62"/>
      <c r="I5" s="64"/>
      <c r="J5" s="62"/>
      <c r="K5" s="65"/>
    </row>
    <row r="6" spans="1:11" s="78" customFormat="1" ht="12.75">
      <c r="A6" s="236">
        <v>1967</v>
      </c>
      <c r="B6" s="62"/>
      <c r="C6" s="63"/>
      <c r="D6" s="62"/>
      <c r="E6" s="64"/>
      <c r="F6" s="62"/>
      <c r="G6" s="64"/>
      <c r="H6" s="62"/>
      <c r="I6" s="64"/>
      <c r="J6" s="62"/>
      <c r="K6" s="65"/>
    </row>
    <row r="7" spans="1:11" s="78" customFormat="1" ht="12.75">
      <c r="A7" s="236">
        <v>1968</v>
      </c>
      <c r="B7" s="62"/>
      <c r="C7" s="63"/>
      <c r="D7" s="62"/>
      <c r="E7" s="64"/>
      <c r="F7" s="62"/>
      <c r="G7" s="64"/>
      <c r="H7" s="62"/>
      <c r="I7" s="64"/>
      <c r="J7" s="62"/>
      <c r="K7" s="65"/>
    </row>
    <row r="8" spans="1:11" s="78" customFormat="1" ht="12.75">
      <c r="A8" s="236">
        <v>1969</v>
      </c>
      <c r="B8" s="62"/>
      <c r="C8" s="63"/>
      <c r="D8" s="62"/>
      <c r="E8" s="64"/>
      <c r="F8" s="62"/>
      <c r="G8" s="64"/>
      <c r="H8" s="62"/>
      <c r="I8" s="64"/>
      <c r="J8" s="62"/>
      <c r="K8" s="65"/>
    </row>
    <row r="9" spans="1:11" s="78" customFormat="1" ht="12.75">
      <c r="A9" s="236">
        <v>1970</v>
      </c>
      <c r="B9" s="62"/>
      <c r="C9" s="63"/>
      <c r="D9" s="62"/>
      <c r="E9" s="64"/>
      <c r="F9" s="62"/>
      <c r="G9" s="64"/>
      <c r="H9" s="62"/>
      <c r="I9" s="64"/>
      <c r="J9" s="62"/>
      <c r="K9" s="65"/>
    </row>
    <row r="10" spans="1:11" s="78" customFormat="1" ht="12.75">
      <c r="A10" s="236">
        <v>1971</v>
      </c>
      <c r="B10" s="62"/>
      <c r="C10" s="63"/>
      <c r="D10" s="62"/>
      <c r="E10" s="64"/>
      <c r="F10" s="62"/>
      <c r="G10" s="64"/>
      <c r="H10" s="62"/>
      <c r="I10" s="64"/>
      <c r="J10" s="62"/>
      <c r="K10" s="65"/>
    </row>
    <row r="11" spans="1:11" s="78" customFormat="1" ht="12.75">
      <c r="A11" s="236">
        <v>1972</v>
      </c>
      <c r="B11" s="62"/>
      <c r="C11" s="63"/>
      <c r="D11" s="62"/>
      <c r="E11" s="64"/>
      <c r="F11" s="62"/>
      <c r="G11" s="64"/>
      <c r="H11" s="62"/>
      <c r="I11" s="64"/>
      <c r="J11" s="62"/>
      <c r="K11" s="65"/>
    </row>
    <row r="12" spans="1:11" s="78" customFormat="1" ht="12.75">
      <c r="A12" s="236">
        <v>1973</v>
      </c>
      <c r="B12" s="62"/>
      <c r="C12" s="63"/>
      <c r="D12" s="62"/>
      <c r="E12" s="64"/>
      <c r="F12" s="62"/>
      <c r="G12" s="64"/>
      <c r="H12" s="62"/>
      <c r="I12" s="64"/>
      <c r="J12" s="62"/>
      <c r="K12" s="65"/>
    </row>
    <row r="13" spans="1:11" s="78" customFormat="1" ht="12.75">
      <c r="A13" s="236">
        <v>1974</v>
      </c>
      <c r="B13" s="62"/>
      <c r="C13" s="63"/>
      <c r="D13" s="62"/>
      <c r="E13" s="64"/>
      <c r="F13" s="62"/>
      <c r="G13" s="64"/>
      <c r="H13" s="62"/>
      <c r="I13" s="64"/>
      <c r="J13" s="62"/>
      <c r="K13" s="65"/>
    </row>
    <row r="14" spans="1:11" s="78" customFormat="1" ht="12.75">
      <c r="A14" s="236">
        <v>1975</v>
      </c>
      <c r="B14" s="62"/>
      <c r="C14" s="63"/>
      <c r="D14" s="62"/>
      <c r="E14" s="64"/>
      <c r="F14" s="62"/>
      <c r="G14" s="64"/>
      <c r="H14" s="62"/>
      <c r="I14" s="64"/>
      <c r="J14" s="62"/>
      <c r="K14" s="65"/>
    </row>
    <row r="15" spans="1:11" s="78" customFormat="1" ht="12.75">
      <c r="A15" s="236">
        <v>1976</v>
      </c>
      <c r="B15" s="62"/>
      <c r="C15" s="63"/>
      <c r="D15" s="62"/>
      <c r="E15" s="64"/>
      <c r="F15" s="62"/>
      <c r="G15" s="64"/>
      <c r="H15" s="62"/>
      <c r="I15" s="64"/>
      <c r="J15" s="62"/>
      <c r="K15" s="65"/>
    </row>
    <row r="16" spans="1:11" s="78" customFormat="1" ht="12.75">
      <c r="A16" s="236">
        <v>1977</v>
      </c>
      <c r="B16" s="62"/>
      <c r="C16" s="63"/>
      <c r="D16" s="62"/>
      <c r="E16" s="64"/>
      <c r="F16" s="62"/>
      <c r="G16" s="64"/>
      <c r="H16" s="62"/>
      <c r="I16" s="64"/>
      <c r="J16" s="62"/>
      <c r="K16" s="65"/>
    </row>
    <row r="17" spans="1:11" s="78" customFormat="1" ht="12.75">
      <c r="A17" s="236">
        <v>1978</v>
      </c>
      <c r="B17" s="62"/>
      <c r="C17" s="63"/>
      <c r="D17" s="62"/>
      <c r="E17" s="64"/>
      <c r="F17" s="62"/>
      <c r="G17" s="64"/>
      <c r="H17" s="62"/>
      <c r="I17" s="64"/>
      <c r="J17" s="62"/>
      <c r="K17" s="65"/>
    </row>
    <row r="18" spans="1:11" s="78" customFormat="1" ht="12.75">
      <c r="A18" s="236">
        <v>1979</v>
      </c>
      <c r="B18" s="62"/>
      <c r="C18" s="63"/>
      <c r="D18" s="62"/>
      <c r="E18" s="64"/>
      <c r="F18" s="62"/>
      <c r="G18" s="64"/>
      <c r="H18" s="62"/>
      <c r="I18" s="64"/>
      <c r="J18" s="62"/>
      <c r="K18" s="65"/>
    </row>
    <row r="19" spans="1:11" s="78" customFormat="1" ht="12.75">
      <c r="A19" s="236">
        <v>1980</v>
      </c>
      <c r="B19" s="62"/>
      <c r="C19" s="63"/>
      <c r="D19" s="62"/>
      <c r="E19" s="64"/>
      <c r="F19" s="62"/>
      <c r="G19" s="64"/>
      <c r="H19" s="62"/>
      <c r="I19" s="64"/>
      <c r="J19" s="62"/>
      <c r="K19" s="65"/>
    </row>
    <row r="20" spans="1:11" s="78" customFormat="1" ht="12.75">
      <c r="A20" s="236">
        <v>1981</v>
      </c>
      <c r="B20" s="62"/>
      <c r="C20" s="63"/>
      <c r="D20" s="62"/>
      <c r="E20" s="64"/>
      <c r="F20" s="62"/>
      <c r="G20" s="64"/>
      <c r="H20" s="62"/>
      <c r="I20" s="64"/>
      <c r="J20" s="62"/>
      <c r="K20" s="65"/>
    </row>
    <row r="21" spans="1:11" s="78" customFormat="1" ht="12.75">
      <c r="A21" s="236">
        <v>1982</v>
      </c>
      <c r="B21" s="62"/>
      <c r="C21" s="63"/>
      <c r="D21" s="62"/>
      <c r="E21" s="64"/>
      <c r="F21" s="62"/>
      <c r="G21" s="64"/>
      <c r="H21" s="62"/>
      <c r="I21" s="64"/>
      <c r="J21" s="62"/>
      <c r="K21" s="65"/>
    </row>
    <row r="22" spans="1:11" s="78" customFormat="1" ht="12.75">
      <c r="A22" s="236">
        <v>1983</v>
      </c>
      <c r="B22" s="62"/>
      <c r="C22" s="63"/>
      <c r="D22" s="62"/>
      <c r="E22" s="64"/>
      <c r="F22" s="62"/>
      <c r="G22" s="64"/>
      <c r="H22" s="62"/>
      <c r="I22" s="64"/>
      <c r="J22" s="62"/>
      <c r="K22" s="65"/>
    </row>
    <row r="23" spans="1:11" s="78" customFormat="1" ht="12.75">
      <c r="A23" s="236">
        <v>1984</v>
      </c>
      <c r="B23" s="62"/>
      <c r="C23" s="63"/>
      <c r="D23" s="62"/>
      <c r="E23" s="64"/>
      <c r="F23" s="62"/>
      <c r="G23" s="64"/>
      <c r="H23" s="62"/>
      <c r="I23" s="64"/>
      <c r="J23" s="62"/>
      <c r="K23" s="65"/>
    </row>
    <row r="24" spans="1:11" s="78" customFormat="1" ht="12.75">
      <c r="A24" s="236">
        <v>1985</v>
      </c>
      <c r="B24" s="62"/>
      <c r="C24" s="63"/>
      <c r="D24" s="62"/>
      <c r="E24" s="64"/>
      <c r="F24" s="62"/>
      <c r="G24" s="64"/>
      <c r="H24" s="62"/>
      <c r="I24" s="64"/>
      <c r="J24" s="62"/>
      <c r="K24" s="65"/>
    </row>
    <row r="25" spans="1:11" s="78" customFormat="1" ht="12.75">
      <c r="A25" s="236">
        <v>1986</v>
      </c>
      <c r="B25" s="62"/>
      <c r="C25" s="63"/>
      <c r="D25" s="62"/>
      <c r="E25" s="64"/>
      <c r="F25" s="62"/>
      <c r="G25" s="64"/>
      <c r="H25" s="62"/>
      <c r="I25" s="64"/>
      <c r="J25" s="62"/>
      <c r="K25" s="65"/>
    </row>
    <row r="26" spans="1:11" s="78" customFormat="1" ht="12.75">
      <c r="A26" s="236">
        <v>1987</v>
      </c>
      <c r="B26" s="62"/>
      <c r="C26" s="63"/>
      <c r="D26" s="62"/>
      <c r="E26" s="64"/>
      <c r="F26" s="62"/>
      <c r="G26" s="64"/>
      <c r="H26" s="62"/>
      <c r="I26" s="64"/>
      <c r="J26" s="62"/>
      <c r="K26" s="65"/>
    </row>
    <row r="27" spans="1:11" s="78" customFormat="1" ht="12.75">
      <c r="A27" s="236">
        <v>1988</v>
      </c>
      <c r="B27" s="62"/>
      <c r="C27" s="63"/>
      <c r="D27" s="62"/>
      <c r="E27" s="64"/>
      <c r="F27" s="62"/>
      <c r="G27" s="64"/>
      <c r="H27" s="62"/>
      <c r="I27" s="64"/>
      <c r="J27" s="62"/>
      <c r="K27" s="65"/>
    </row>
    <row r="28" spans="1:11" s="78" customFormat="1" ht="12.75">
      <c r="A28" s="236">
        <v>1989</v>
      </c>
      <c r="B28" s="62"/>
      <c r="C28" s="63"/>
      <c r="D28" s="62"/>
      <c r="E28" s="64"/>
      <c r="F28" s="62"/>
      <c r="G28" s="64"/>
      <c r="H28" s="62"/>
      <c r="I28" s="64"/>
      <c r="J28" s="62"/>
      <c r="K28" s="65"/>
    </row>
    <row r="29" spans="1:11" s="78" customFormat="1" ht="12.75">
      <c r="A29" s="236">
        <v>1990</v>
      </c>
      <c r="B29" s="62"/>
      <c r="C29" s="63"/>
      <c r="D29" s="62"/>
      <c r="E29" s="64"/>
      <c r="F29" s="62"/>
      <c r="G29" s="64"/>
      <c r="H29" s="62"/>
      <c r="I29" s="64"/>
      <c r="J29" s="62"/>
      <c r="K29" s="65"/>
    </row>
    <row r="30" spans="1:11" s="78" customFormat="1" ht="12.75">
      <c r="A30" s="236">
        <v>1991</v>
      </c>
      <c r="B30" s="62"/>
      <c r="C30" s="63"/>
      <c r="D30" s="62"/>
      <c r="E30" s="64"/>
      <c r="F30" s="62"/>
      <c r="G30" s="64"/>
      <c r="H30" s="62"/>
      <c r="I30" s="64"/>
      <c r="J30" s="62"/>
      <c r="K30" s="65"/>
    </row>
    <row r="31" spans="1:11" s="78" customFormat="1" ht="12.75">
      <c r="A31" s="236">
        <v>1992</v>
      </c>
      <c r="B31" s="62"/>
      <c r="C31" s="63"/>
      <c r="D31" s="62"/>
      <c r="E31" s="64"/>
      <c r="F31" s="62"/>
      <c r="G31" s="64"/>
      <c r="H31" s="62"/>
      <c r="I31" s="64"/>
      <c r="J31" s="62"/>
      <c r="K31" s="65"/>
    </row>
    <row r="32" spans="1:11" s="78" customFormat="1" ht="12.75">
      <c r="A32" s="236">
        <v>1993</v>
      </c>
      <c r="B32" s="62"/>
      <c r="C32" s="63"/>
      <c r="D32" s="62"/>
      <c r="E32" s="64"/>
      <c r="F32" s="62"/>
      <c r="G32" s="64"/>
      <c r="H32" s="62"/>
      <c r="I32" s="64"/>
      <c r="J32" s="62"/>
      <c r="K32" s="65"/>
    </row>
    <row r="33" spans="1:11" s="78" customFormat="1" ht="12.75">
      <c r="A33" s="236">
        <v>1994</v>
      </c>
      <c r="B33" s="62"/>
      <c r="C33" s="63"/>
      <c r="D33" s="62"/>
      <c r="E33" s="64"/>
      <c r="F33" s="62"/>
      <c r="G33" s="64"/>
      <c r="H33" s="62"/>
      <c r="I33" s="64"/>
      <c r="J33" s="62"/>
      <c r="K33" s="65"/>
    </row>
    <row r="34" spans="1:11" s="78" customFormat="1" ht="12.75">
      <c r="A34" s="236">
        <v>1995</v>
      </c>
      <c r="B34" s="62"/>
      <c r="C34" s="63"/>
      <c r="D34" s="62"/>
      <c r="E34" s="64"/>
      <c r="F34" s="62"/>
      <c r="G34" s="64"/>
      <c r="H34" s="62"/>
      <c r="I34" s="64"/>
      <c r="J34" s="62"/>
      <c r="K34" s="65"/>
    </row>
    <row r="35" spans="1:11" s="78" customFormat="1" ht="12.75">
      <c r="A35" s="236">
        <v>1996</v>
      </c>
      <c r="B35" s="62">
        <v>2</v>
      </c>
      <c r="C35" s="63">
        <f>C34+B35</f>
        <v>2</v>
      </c>
      <c r="D35" s="62"/>
      <c r="E35" s="64"/>
      <c r="F35" s="62"/>
      <c r="G35" s="64"/>
      <c r="H35" s="62">
        <v>1</v>
      </c>
      <c r="I35" s="64">
        <f>I34+H35</f>
        <v>1</v>
      </c>
      <c r="J35" s="62">
        <f>B35+D35+F35+H35</f>
        <v>3</v>
      </c>
      <c r="K35" s="65">
        <f>C35+E35+G35+I35</f>
        <v>3</v>
      </c>
    </row>
    <row r="36" spans="1:11" s="78" customFormat="1" ht="12.75">
      <c r="A36" s="236">
        <v>1997</v>
      </c>
      <c r="B36" s="62">
        <v>1</v>
      </c>
      <c r="C36" s="63">
        <f aca="true" t="shared" si="0" ref="C36:C44">C35+B36</f>
        <v>3</v>
      </c>
      <c r="D36" s="62"/>
      <c r="E36" s="64"/>
      <c r="F36" s="62"/>
      <c r="G36" s="64"/>
      <c r="H36" s="62"/>
      <c r="I36" s="64">
        <f aca="true" t="shared" si="1" ref="I36:I43">I35+H36</f>
        <v>1</v>
      </c>
      <c r="J36" s="62">
        <f aca="true" t="shared" si="2" ref="J36:J43">B36+D36+F36+H36</f>
        <v>1</v>
      </c>
      <c r="K36" s="65">
        <f>K35+J36</f>
        <v>4</v>
      </c>
    </row>
    <row r="37" spans="1:11" s="78" customFormat="1" ht="12.75">
      <c r="A37" s="236">
        <v>1998</v>
      </c>
      <c r="B37" s="62">
        <v>1</v>
      </c>
      <c r="C37" s="63">
        <f t="shared" si="0"/>
        <v>4</v>
      </c>
      <c r="D37" s="62"/>
      <c r="E37" s="64"/>
      <c r="F37" s="62"/>
      <c r="G37" s="64"/>
      <c r="H37" s="62"/>
      <c r="I37" s="64">
        <f t="shared" si="1"/>
        <v>1</v>
      </c>
      <c r="J37" s="62">
        <f t="shared" si="2"/>
        <v>1</v>
      </c>
      <c r="K37" s="65">
        <f aca="true" t="shared" si="3" ref="K37:K43">K36+J37</f>
        <v>5</v>
      </c>
    </row>
    <row r="38" spans="1:11" s="78" customFormat="1" ht="12.75">
      <c r="A38" s="240">
        <v>1999</v>
      </c>
      <c r="B38" s="66">
        <v>2</v>
      </c>
      <c r="C38" s="67">
        <f t="shared" si="0"/>
        <v>6</v>
      </c>
      <c r="D38" s="66"/>
      <c r="E38" s="68"/>
      <c r="F38" s="66"/>
      <c r="G38" s="68"/>
      <c r="H38" s="66"/>
      <c r="I38" s="68">
        <f t="shared" si="1"/>
        <v>1</v>
      </c>
      <c r="J38" s="66">
        <f t="shared" si="2"/>
        <v>2</v>
      </c>
      <c r="K38" s="69">
        <f t="shared" si="3"/>
        <v>7</v>
      </c>
    </row>
    <row r="39" spans="1:11" s="81" customFormat="1" ht="22.5" customHeight="1">
      <c r="A39" s="236">
        <v>2000</v>
      </c>
      <c r="B39" s="62"/>
      <c r="C39" s="63">
        <f t="shared" si="0"/>
        <v>6</v>
      </c>
      <c r="D39" s="62"/>
      <c r="E39" s="64"/>
      <c r="F39" s="62"/>
      <c r="G39" s="64"/>
      <c r="H39" s="62"/>
      <c r="I39" s="64">
        <f t="shared" si="1"/>
        <v>1</v>
      </c>
      <c r="J39" s="62"/>
      <c r="K39" s="65">
        <f t="shared" si="3"/>
        <v>7</v>
      </c>
    </row>
    <row r="40" spans="1:11" s="78" customFormat="1" ht="12.75">
      <c r="A40" s="236">
        <v>2001</v>
      </c>
      <c r="B40" s="62">
        <v>1</v>
      </c>
      <c r="C40" s="63">
        <f t="shared" si="0"/>
        <v>7</v>
      </c>
      <c r="D40" s="62">
        <v>1</v>
      </c>
      <c r="E40" s="64">
        <f aca="true" t="shared" si="4" ref="E40:E45">E39+D40</f>
        <v>1</v>
      </c>
      <c r="F40" s="62"/>
      <c r="G40" s="64"/>
      <c r="H40" s="62"/>
      <c r="I40" s="64">
        <f t="shared" si="1"/>
        <v>1</v>
      </c>
      <c r="J40" s="62">
        <f t="shared" si="2"/>
        <v>2</v>
      </c>
      <c r="K40" s="65">
        <f t="shared" si="3"/>
        <v>9</v>
      </c>
    </row>
    <row r="41" spans="1:11" s="78" customFormat="1" ht="12.75">
      <c r="A41" s="236">
        <v>2002</v>
      </c>
      <c r="B41" s="62">
        <v>2</v>
      </c>
      <c r="C41" s="63">
        <f t="shared" si="0"/>
        <v>9</v>
      </c>
      <c r="D41" s="62">
        <v>3</v>
      </c>
      <c r="E41" s="64">
        <f t="shared" si="4"/>
        <v>4</v>
      </c>
      <c r="F41" s="62"/>
      <c r="G41" s="64"/>
      <c r="H41" s="62"/>
      <c r="I41" s="64">
        <f t="shared" si="1"/>
        <v>1</v>
      </c>
      <c r="J41" s="62">
        <f t="shared" si="2"/>
        <v>5</v>
      </c>
      <c r="K41" s="65">
        <f t="shared" si="3"/>
        <v>14</v>
      </c>
    </row>
    <row r="42" spans="1:11" s="78" customFormat="1" ht="12.75">
      <c r="A42" s="236">
        <v>2003</v>
      </c>
      <c r="B42" s="62">
        <v>3</v>
      </c>
      <c r="C42" s="63">
        <f t="shared" si="0"/>
        <v>12</v>
      </c>
      <c r="D42" s="62">
        <v>3</v>
      </c>
      <c r="E42" s="64">
        <f t="shared" si="4"/>
        <v>7</v>
      </c>
      <c r="F42" s="62">
        <v>1</v>
      </c>
      <c r="G42" s="64">
        <f aca="true" t="shared" si="5" ref="G42:G47">G41+F42</f>
        <v>1</v>
      </c>
      <c r="H42" s="62"/>
      <c r="I42" s="64">
        <f t="shared" si="1"/>
        <v>1</v>
      </c>
      <c r="J42" s="62">
        <f t="shared" si="2"/>
        <v>7</v>
      </c>
      <c r="K42" s="65">
        <f t="shared" si="3"/>
        <v>21</v>
      </c>
    </row>
    <row r="43" spans="1:11" s="78" customFormat="1" ht="12.75">
      <c r="A43" s="236">
        <v>2004</v>
      </c>
      <c r="B43" s="62">
        <v>3</v>
      </c>
      <c r="C43" s="63">
        <f t="shared" si="0"/>
        <v>15</v>
      </c>
      <c r="D43" s="62">
        <v>4</v>
      </c>
      <c r="E43" s="64">
        <f t="shared" si="4"/>
        <v>11</v>
      </c>
      <c r="F43" s="62">
        <v>0</v>
      </c>
      <c r="G43" s="64">
        <f t="shared" si="5"/>
        <v>1</v>
      </c>
      <c r="H43" s="62">
        <f>2+0</f>
        <v>2</v>
      </c>
      <c r="I43" s="64">
        <f t="shared" si="1"/>
        <v>3</v>
      </c>
      <c r="J43" s="62">
        <f t="shared" si="2"/>
        <v>9</v>
      </c>
      <c r="K43" s="65">
        <f t="shared" si="3"/>
        <v>30</v>
      </c>
    </row>
    <row r="44" spans="1:11" s="78" customFormat="1" ht="12.75">
      <c r="A44" s="236">
        <v>2005</v>
      </c>
      <c r="B44" s="62"/>
      <c r="C44" s="63">
        <f t="shared" si="0"/>
        <v>15</v>
      </c>
      <c r="D44" s="62">
        <f>1+0+0+1</f>
        <v>2</v>
      </c>
      <c r="E44" s="64">
        <f t="shared" si="4"/>
        <v>13</v>
      </c>
      <c r="F44" s="74">
        <f>0+0+0+0</f>
        <v>0</v>
      </c>
      <c r="G44" s="64">
        <f t="shared" si="5"/>
        <v>1</v>
      </c>
      <c r="H44" s="154">
        <f>0+0+0+0</f>
        <v>0</v>
      </c>
      <c r="I44" s="145">
        <f aca="true" t="shared" si="6" ref="I44:I49">I43+H44</f>
        <v>3</v>
      </c>
      <c r="J44" s="62">
        <f aca="true" t="shared" si="7" ref="J44:J49">B44+D44+F44+H44</f>
        <v>2</v>
      </c>
      <c r="K44" s="65">
        <f aca="true" t="shared" si="8" ref="K44:K49">K43+J44</f>
        <v>32</v>
      </c>
    </row>
    <row r="45" spans="1:11" s="78" customFormat="1" ht="12.75">
      <c r="A45" s="236">
        <v>2006</v>
      </c>
      <c r="B45" s="151">
        <f>0+0+0</f>
        <v>0</v>
      </c>
      <c r="C45" s="144">
        <f aca="true" t="shared" si="9" ref="C45:C51">C44+B45</f>
        <v>15</v>
      </c>
      <c r="D45" s="151">
        <f>0+2+0</f>
        <v>2</v>
      </c>
      <c r="E45" s="145">
        <f t="shared" si="4"/>
        <v>15</v>
      </c>
      <c r="F45" s="153">
        <f>0+0+0+1</f>
        <v>1</v>
      </c>
      <c r="G45" s="145">
        <f t="shared" si="5"/>
        <v>2</v>
      </c>
      <c r="H45" s="154">
        <f>1+2+0+0</f>
        <v>3</v>
      </c>
      <c r="I45" s="145">
        <f t="shared" si="6"/>
        <v>6</v>
      </c>
      <c r="J45" s="151">
        <f t="shared" si="7"/>
        <v>6</v>
      </c>
      <c r="K45" s="65">
        <f t="shared" si="8"/>
        <v>38</v>
      </c>
    </row>
    <row r="46" spans="1:11" s="78" customFormat="1" ht="12.75">
      <c r="A46" s="236">
        <v>2007</v>
      </c>
      <c r="B46" s="151">
        <f>1+0+0+1</f>
        <v>2</v>
      </c>
      <c r="C46" s="144">
        <f t="shared" si="9"/>
        <v>17</v>
      </c>
      <c r="D46" s="151">
        <f>0+0+0+1</f>
        <v>1</v>
      </c>
      <c r="E46" s="145">
        <f aca="true" t="shared" si="10" ref="E46:E51">E45+D46</f>
        <v>16</v>
      </c>
      <c r="F46" s="153">
        <f>0+0+0</f>
        <v>0</v>
      </c>
      <c r="G46" s="145">
        <f t="shared" si="5"/>
        <v>2</v>
      </c>
      <c r="H46" s="154">
        <f>0+0+1+0</f>
        <v>1</v>
      </c>
      <c r="I46" s="145">
        <f t="shared" si="6"/>
        <v>7</v>
      </c>
      <c r="J46" s="151">
        <f t="shared" si="7"/>
        <v>4</v>
      </c>
      <c r="K46" s="65">
        <f t="shared" si="8"/>
        <v>42</v>
      </c>
    </row>
    <row r="47" spans="1:11" s="78" customFormat="1" ht="12.75">
      <c r="A47" s="236">
        <v>2008</v>
      </c>
      <c r="B47" s="151">
        <f>0+0+0+0</f>
        <v>0</v>
      </c>
      <c r="C47" s="144">
        <f t="shared" si="9"/>
        <v>17</v>
      </c>
      <c r="D47" s="151">
        <f>1+2+0+0</f>
        <v>3</v>
      </c>
      <c r="E47" s="145">
        <f t="shared" si="10"/>
        <v>19</v>
      </c>
      <c r="F47" s="153">
        <f>0+0+0+0</f>
        <v>0</v>
      </c>
      <c r="G47" s="145">
        <f t="shared" si="5"/>
        <v>2</v>
      </c>
      <c r="H47" s="154">
        <f>1+0+0+0</f>
        <v>1</v>
      </c>
      <c r="I47" s="145">
        <f t="shared" si="6"/>
        <v>8</v>
      </c>
      <c r="J47" s="151">
        <f t="shared" si="7"/>
        <v>4</v>
      </c>
      <c r="K47" s="65">
        <f t="shared" si="8"/>
        <v>46</v>
      </c>
    </row>
    <row r="48" spans="1:11" s="78" customFormat="1" ht="12.75">
      <c r="A48" s="236">
        <v>2009</v>
      </c>
      <c r="B48" s="151">
        <f>1+0+0+1</f>
        <v>2</v>
      </c>
      <c r="C48" s="144">
        <f t="shared" si="9"/>
        <v>19</v>
      </c>
      <c r="D48" s="151">
        <f>0+0+0+2</f>
        <v>2</v>
      </c>
      <c r="E48" s="145">
        <f t="shared" si="10"/>
        <v>21</v>
      </c>
      <c r="F48" s="153">
        <f>1+0+0+0</f>
        <v>1</v>
      </c>
      <c r="G48" s="145">
        <f aca="true" t="shared" si="11" ref="G48:G53">G47+F48</f>
        <v>3</v>
      </c>
      <c r="H48" s="154">
        <f>0+0+0+0</f>
        <v>0</v>
      </c>
      <c r="I48" s="145">
        <f t="shared" si="6"/>
        <v>8</v>
      </c>
      <c r="J48" s="151">
        <f t="shared" si="7"/>
        <v>5</v>
      </c>
      <c r="K48" s="65">
        <f t="shared" si="8"/>
        <v>51</v>
      </c>
    </row>
    <row r="49" spans="1:11" s="78" customFormat="1" ht="12.75">
      <c r="A49" s="236">
        <v>2010</v>
      </c>
      <c r="B49" s="151">
        <f>2+1+0+0</f>
        <v>3</v>
      </c>
      <c r="C49" s="144">
        <f t="shared" si="9"/>
        <v>22</v>
      </c>
      <c r="D49" s="151">
        <f>1+3+2+1</f>
        <v>7</v>
      </c>
      <c r="E49" s="145">
        <f t="shared" si="10"/>
        <v>28</v>
      </c>
      <c r="F49" s="153">
        <f>0+0+0+0</f>
        <v>0</v>
      </c>
      <c r="G49" s="145">
        <f t="shared" si="11"/>
        <v>3</v>
      </c>
      <c r="H49" s="154">
        <f>0+0+0+0</f>
        <v>0</v>
      </c>
      <c r="I49" s="145">
        <f t="shared" si="6"/>
        <v>8</v>
      </c>
      <c r="J49" s="151">
        <f t="shared" si="7"/>
        <v>10</v>
      </c>
      <c r="K49" s="65">
        <f t="shared" si="8"/>
        <v>61</v>
      </c>
    </row>
    <row r="50" spans="1:11" s="179" customFormat="1" ht="12.75">
      <c r="A50" s="237">
        <v>2011</v>
      </c>
      <c r="B50" s="177">
        <f>1+0+1+0</f>
        <v>2</v>
      </c>
      <c r="C50" s="180">
        <f t="shared" si="9"/>
        <v>24</v>
      </c>
      <c r="D50" s="177">
        <f>2+0+0+1</f>
        <v>3</v>
      </c>
      <c r="E50" s="169">
        <f t="shared" si="10"/>
        <v>31</v>
      </c>
      <c r="F50" s="174">
        <f>0+0+0+0</f>
        <v>0</v>
      </c>
      <c r="G50" s="169">
        <f t="shared" si="11"/>
        <v>3</v>
      </c>
      <c r="H50" s="181">
        <f>0</f>
        <v>0</v>
      </c>
      <c r="I50" s="169">
        <f aca="true" t="shared" si="12" ref="I50:I55">I49+H50</f>
        <v>8</v>
      </c>
      <c r="J50" s="177">
        <f aca="true" t="shared" si="13" ref="J50:J55">B50+D50+F50+H50</f>
        <v>5</v>
      </c>
      <c r="K50" s="147">
        <f aca="true" t="shared" si="14" ref="K50:K55">K49+J50</f>
        <v>66</v>
      </c>
    </row>
    <row r="51" spans="1:11" s="202" customFormat="1" ht="12.75">
      <c r="A51" s="238">
        <v>2012</v>
      </c>
      <c r="B51" s="177">
        <f>0+0+1+1</f>
        <v>2</v>
      </c>
      <c r="C51" s="180">
        <f t="shared" si="9"/>
        <v>26</v>
      </c>
      <c r="D51" s="197">
        <f>0+0+0+3</f>
        <v>3</v>
      </c>
      <c r="E51" s="194">
        <f t="shared" si="10"/>
        <v>34</v>
      </c>
      <c r="F51" s="199">
        <f>0+0+0+0</f>
        <v>0</v>
      </c>
      <c r="G51" s="194">
        <f t="shared" si="11"/>
        <v>3</v>
      </c>
      <c r="H51" s="200">
        <f>0+0+0+0</f>
        <v>0</v>
      </c>
      <c r="I51" s="194">
        <f t="shared" si="12"/>
        <v>8</v>
      </c>
      <c r="J51" s="177">
        <f t="shared" si="13"/>
        <v>5</v>
      </c>
      <c r="K51" s="196">
        <f t="shared" si="14"/>
        <v>71</v>
      </c>
    </row>
    <row r="52" spans="1:11" s="202" customFormat="1" ht="12.75">
      <c r="A52" s="238">
        <v>2013</v>
      </c>
      <c r="B52" s="177">
        <f>2+1+2+0</f>
        <v>5</v>
      </c>
      <c r="C52" s="180">
        <f aca="true" t="shared" si="15" ref="C52:C57">C51+B52</f>
        <v>31</v>
      </c>
      <c r="D52" s="177">
        <f>3+3+2+2</f>
        <v>10</v>
      </c>
      <c r="E52" s="169">
        <f aca="true" t="shared" si="16" ref="E52:E57">E51+D52</f>
        <v>44</v>
      </c>
      <c r="F52" s="174">
        <f>0+0+0+0</f>
        <v>0</v>
      </c>
      <c r="G52" s="169">
        <f t="shared" si="11"/>
        <v>3</v>
      </c>
      <c r="H52" s="181">
        <f>0+0+0+1</f>
        <v>1</v>
      </c>
      <c r="I52" s="169">
        <f t="shared" si="12"/>
        <v>9</v>
      </c>
      <c r="J52" s="177">
        <f t="shared" si="13"/>
        <v>16</v>
      </c>
      <c r="K52" s="155">
        <f t="shared" si="14"/>
        <v>87</v>
      </c>
    </row>
    <row r="53" spans="1:11" s="202" customFormat="1" ht="12.75">
      <c r="A53" s="239" t="s">
        <v>42</v>
      </c>
      <c r="B53" s="177">
        <f>1+1+0+2</f>
        <v>4</v>
      </c>
      <c r="C53" s="180">
        <f t="shared" si="15"/>
        <v>35</v>
      </c>
      <c r="D53" s="177">
        <f>2+2+1+5</f>
        <v>10</v>
      </c>
      <c r="E53" s="169">
        <f t="shared" si="16"/>
        <v>54</v>
      </c>
      <c r="F53" s="174">
        <f>0+1+0+1</f>
        <v>2</v>
      </c>
      <c r="G53" s="169">
        <f t="shared" si="11"/>
        <v>5</v>
      </c>
      <c r="H53" s="174">
        <f>1+2+1+0</f>
        <v>4</v>
      </c>
      <c r="I53" s="169">
        <f t="shared" si="12"/>
        <v>13</v>
      </c>
      <c r="J53" s="177">
        <f t="shared" si="13"/>
        <v>20</v>
      </c>
      <c r="K53" s="155">
        <f t="shared" si="14"/>
        <v>107</v>
      </c>
    </row>
    <row r="54" spans="1:11" s="202" customFormat="1" ht="12.75">
      <c r="A54" s="239">
        <v>2015</v>
      </c>
      <c r="B54" s="177">
        <f>0+0+0+0</f>
        <v>0</v>
      </c>
      <c r="C54" s="180">
        <f t="shared" si="15"/>
        <v>35</v>
      </c>
      <c r="D54" s="177">
        <f>7+2+3+2</f>
        <v>14</v>
      </c>
      <c r="E54" s="169">
        <f t="shared" si="16"/>
        <v>68</v>
      </c>
      <c r="F54" s="174">
        <f>0+0+0+0</f>
        <v>0</v>
      </c>
      <c r="G54" s="169">
        <f aca="true" t="shared" si="17" ref="G54:G59">G53+F54</f>
        <v>5</v>
      </c>
      <c r="H54" s="174">
        <f>1+0+1+0</f>
        <v>2</v>
      </c>
      <c r="I54" s="169">
        <f t="shared" si="12"/>
        <v>15</v>
      </c>
      <c r="J54" s="177">
        <f t="shared" si="13"/>
        <v>16</v>
      </c>
      <c r="K54" s="155">
        <f t="shared" si="14"/>
        <v>123</v>
      </c>
    </row>
    <row r="55" spans="1:11" s="202" customFormat="1" ht="12.75">
      <c r="A55" s="252">
        <v>2016</v>
      </c>
      <c r="B55" s="177">
        <f>1+0+0+0</f>
        <v>1</v>
      </c>
      <c r="C55" s="180">
        <f t="shared" si="15"/>
        <v>36</v>
      </c>
      <c r="D55" s="177">
        <f>2+2+1+2</f>
        <v>7</v>
      </c>
      <c r="E55" s="169">
        <f t="shared" si="16"/>
        <v>75</v>
      </c>
      <c r="F55" s="174">
        <f>0+0+0+0</f>
        <v>0</v>
      </c>
      <c r="G55" s="169">
        <f t="shared" si="17"/>
        <v>5</v>
      </c>
      <c r="H55" s="174">
        <f>1+0+0+1</f>
        <v>2</v>
      </c>
      <c r="I55" s="169">
        <f t="shared" si="12"/>
        <v>17</v>
      </c>
      <c r="J55" s="177">
        <f t="shared" si="13"/>
        <v>10</v>
      </c>
      <c r="K55" s="155">
        <f t="shared" si="14"/>
        <v>133</v>
      </c>
    </row>
    <row r="56" spans="1:11" s="202" customFormat="1" ht="12.75">
      <c r="A56" s="252">
        <v>2017</v>
      </c>
      <c r="B56" s="177">
        <f>0+0+0+1</f>
        <v>1</v>
      </c>
      <c r="C56" s="180">
        <f t="shared" si="15"/>
        <v>37</v>
      </c>
      <c r="D56" s="177">
        <f>0+3+2+2</f>
        <v>7</v>
      </c>
      <c r="E56" s="169">
        <f t="shared" si="16"/>
        <v>82</v>
      </c>
      <c r="F56" s="174">
        <f>0</f>
        <v>0</v>
      </c>
      <c r="G56" s="169">
        <f t="shared" si="17"/>
        <v>5</v>
      </c>
      <c r="H56" s="174">
        <f>0+2+0</f>
        <v>2</v>
      </c>
      <c r="I56" s="169">
        <f>I55+H56</f>
        <v>19</v>
      </c>
      <c r="J56" s="177">
        <f>B56+D56+F56+H56</f>
        <v>10</v>
      </c>
      <c r="K56" s="155">
        <f>K55+J56</f>
        <v>143</v>
      </c>
    </row>
    <row r="57" spans="1:11" s="202" customFormat="1" ht="12.75">
      <c r="A57" s="252">
        <v>2018</v>
      </c>
      <c r="B57" s="197">
        <f>1+0+1+0</f>
        <v>2</v>
      </c>
      <c r="C57" s="198">
        <f t="shared" si="15"/>
        <v>39</v>
      </c>
      <c r="D57" s="197">
        <f>3+3+3+3</f>
        <v>12</v>
      </c>
      <c r="E57" s="194">
        <f t="shared" si="16"/>
        <v>94</v>
      </c>
      <c r="F57" s="199">
        <f>0+0+0+0</f>
        <v>0</v>
      </c>
      <c r="G57" s="194">
        <f t="shared" si="17"/>
        <v>5</v>
      </c>
      <c r="H57" s="199">
        <f>0+0+0+0</f>
        <v>0</v>
      </c>
      <c r="I57" s="194">
        <f>I56+H57</f>
        <v>19</v>
      </c>
      <c r="J57" s="197">
        <f>B57+D57+F57+H57</f>
        <v>14</v>
      </c>
      <c r="K57" s="196">
        <f>K56+J57</f>
        <v>157</v>
      </c>
    </row>
    <row r="58" spans="1:11" s="202" customFormat="1" ht="12.75">
      <c r="A58" s="252">
        <v>2019</v>
      </c>
      <c r="B58" s="177">
        <f>1+2+0+0</f>
        <v>3</v>
      </c>
      <c r="C58" s="180">
        <f>C57+B58</f>
        <v>42</v>
      </c>
      <c r="D58" s="177">
        <f>2+2+2+3</f>
        <v>9</v>
      </c>
      <c r="E58" s="169">
        <f>E57+D58</f>
        <v>103</v>
      </c>
      <c r="F58" s="174">
        <f>0+0+0+0</f>
        <v>0</v>
      </c>
      <c r="G58" s="169">
        <f t="shared" si="17"/>
        <v>5</v>
      </c>
      <c r="H58" s="174">
        <f>0+1+0+0</f>
        <v>1</v>
      </c>
      <c r="I58" s="169">
        <f>I57+H58</f>
        <v>20</v>
      </c>
      <c r="J58" s="177">
        <f>B58+D58+F58+H58</f>
        <v>13</v>
      </c>
      <c r="K58" s="155">
        <f>K57+J58</f>
        <v>170</v>
      </c>
    </row>
    <row r="59" spans="1:11" s="202" customFormat="1" ht="12.75">
      <c r="A59" s="245">
        <v>2020</v>
      </c>
      <c r="B59" s="197">
        <f>0</f>
        <v>0</v>
      </c>
      <c r="C59" s="198">
        <f>C58+B59</f>
        <v>42</v>
      </c>
      <c r="D59" s="375">
        <v>3</v>
      </c>
      <c r="E59" s="194">
        <f>E58+D59</f>
        <v>106</v>
      </c>
      <c r="F59" s="199">
        <f>0</f>
        <v>0</v>
      </c>
      <c r="G59" s="194">
        <f t="shared" si="17"/>
        <v>5</v>
      </c>
      <c r="H59" s="199">
        <f>0</f>
        <v>0</v>
      </c>
      <c r="I59" s="194">
        <f>I58+H59</f>
        <v>20</v>
      </c>
      <c r="J59" s="197">
        <f>B59+D59+F59+H59</f>
        <v>3</v>
      </c>
      <c r="K59" s="196">
        <f>K58+J59</f>
        <v>173</v>
      </c>
    </row>
    <row r="60" spans="1:11" s="78" customFormat="1" ht="12.75">
      <c r="A60" s="236"/>
      <c r="B60" s="62"/>
      <c r="C60" s="65"/>
      <c r="D60" s="62"/>
      <c r="E60" s="73"/>
      <c r="F60" s="74"/>
      <c r="G60" s="73"/>
      <c r="H60" s="75"/>
      <c r="I60" s="73"/>
      <c r="J60" s="74"/>
      <c r="K60" s="73"/>
    </row>
    <row r="61" spans="1:11" s="78" customFormat="1" ht="12.75">
      <c r="A61" s="236"/>
      <c r="B61" s="62"/>
      <c r="C61" s="65"/>
      <c r="D61" s="62"/>
      <c r="E61" s="73"/>
      <c r="F61" s="74"/>
      <c r="G61" s="73"/>
      <c r="H61" s="75"/>
      <c r="I61" s="73"/>
      <c r="J61" s="74"/>
      <c r="K61" s="73"/>
    </row>
    <row r="62" spans="1:11" s="78" customFormat="1" ht="12.75">
      <c r="A62" s="236"/>
      <c r="B62" s="62"/>
      <c r="C62" s="65"/>
      <c r="D62" s="62"/>
      <c r="E62" s="73"/>
      <c r="F62" s="74"/>
      <c r="G62" s="73"/>
      <c r="H62" s="75"/>
      <c r="I62" s="73"/>
      <c r="J62" s="74"/>
      <c r="K62" s="73"/>
    </row>
    <row r="63" spans="1:11" s="78" customFormat="1" ht="12.75">
      <c r="A63" s="236"/>
      <c r="B63" s="62"/>
      <c r="C63" s="65"/>
      <c r="D63" s="62"/>
      <c r="E63" s="73"/>
      <c r="F63" s="74"/>
      <c r="G63" s="73"/>
      <c r="H63" s="75"/>
      <c r="I63" s="73"/>
      <c r="J63" s="74"/>
      <c r="K63" s="73"/>
    </row>
    <row r="64" spans="1:11" s="78" customFormat="1" ht="12.75">
      <c r="A64" s="236"/>
      <c r="B64" s="62"/>
      <c r="C64" s="65"/>
      <c r="D64" s="62"/>
      <c r="E64" s="73"/>
      <c r="F64" s="74"/>
      <c r="G64" s="73"/>
      <c r="H64" s="75"/>
      <c r="I64" s="73"/>
      <c r="J64" s="74"/>
      <c r="K64" s="73"/>
    </row>
    <row r="65" spans="1:11" s="78" customFormat="1" ht="12.75">
      <c r="A65" s="236"/>
      <c r="B65" s="62"/>
      <c r="C65" s="65"/>
      <c r="D65" s="62"/>
      <c r="E65" s="73"/>
      <c r="F65" s="74"/>
      <c r="G65" s="73"/>
      <c r="H65" s="75"/>
      <c r="I65" s="73"/>
      <c r="J65" s="74"/>
      <c r="K65" s="73"/>
    </row>
    <row r="66" spans="1:11" s="78" customFormat="1" ht="12.75">
      <c r="A66" s="236"/>
      <c r="B66" s="62"/>
      <c r="C66" s="65"/>
      <c r="D66" s="62"/>
      <c r="E66" s="73"/>
      <c r="F66" s="74"/>
      <c r="G66" s="73"/>
      <c r="H66" s="75"/>
      <c r="I66" s="73"/>
      <c r="J66" s="74"/>
      <c r="K66" s="73"/>
    </row>
    <row r="67" spans="1:11" s="78" customFormat="1" ht="12.75">
      <c r="A67" s="236"/>
      <c r="B67" s="62"/>
      <c r="C67" s="65"/>
      <c r="D67" s="62"/>
      <c r="E67" s="73"/>
      <c r="F67" s="74"/>
      <c r="G67" s="73"/>
      <c r="H67" s="75"/>
      <c r="I67" s="73"/>
      <c r="J67" s="74"/>
      <c r="K67" s="73"/>
    </row>
    <row r="68" spans="1:11" s="78" customFormat="1" ht="12.75">
      <c r="A68" s="236"/>
      <c r="B68" s="62"/>
      <c r="C68" s="65"/>
      <c r="D68" s="62"/>
      <c r="E68" s="73"/>
      <c r="F68" s="74"/>
      <c r="G68" s="73"/>
      <c r="H68" s="75"/>
      <c r="I68" s="73"/>
      <c r="J68" s="74"/>
      <c r="K68" s="73"/>
    </row>
    <row r="69" spans="1:11" s="78" customFormat="1" ht="12.75">
      <c r="A69" s="236"/>
      <c r="B69" s="62"/>
      <c r="C69" s="65"/>
      <c r="D69" s="62"/>
      <c r="E69" s="73"/>
      <c r="F69" s="74"/>
      <c r="G69" s="73"/>
      <c r="H69" s="75"/>
      <c r="I69" s="73"/>
      <c r="J69" s="74"/>
      <c r="K69" s="73"/>
    </row>
    <row r="70" spans="1:11" s="78" customFormat="1" ht="12.75">
      <c r="A70" s="236"/>
      <c r="B70" s="62"/>
      <c r="C70" s="65"/>
      <c r="D70" s="62"/>
      <c r="E70" s="73"/>
      <c r="F70" s="74"/>
      <c r="G70" s="73"/>
      <c r="H70" s="75"/>
      <c r="I70" s="73"/>
      <c r="J70" s="74"/>
      <c r="K70" s="73"/>
    </row>
    <row r="71" spans="1:11" s="78" customFormat="1" ht="12.75">
      <c r="A71" s="17"/>
      <c r="B71" s="62"/>
      <c r="C71" s="65"/>
      <c r="D71" s="62"/>
      <c r="E71" s="73"/>
      <c r="F71" s="74"/>
      <c r="G71" s="73"/>
      <c r="H71" s="75"/>
      <c r="I71" s="73"/>
      <c r="J71" s="74"/>
      <c r="K71" s="73"/>
    </row>
    <row r="72" spans="1:11" s="78" customFormat="1" ht="12.75">
      <c r="A72" s="18"/>
      <c r="B72" s="66"/>
      <c r="C72" s="69"/>
      <c r="D72" s="92"/>
      <c r="E72" s="86"/>
      <c r="F72" s="85"/>
      <c r="G72" s="86"/>
      <c r="H72" s="90"/>
      <c r="I72" s="86"/>
      <c r="J72" s="85"/>
      <c r="K72" s="86"/>
    </row>
    <row r="73" spans="1:11" s="95" customFormat="1" ht="18.75" customHeight="1">
      <c r="A73" s="390" t="s">
        <v>43</v>
      </c>
      <c r="B73" s="390"/>
      <c r="C73" s="390"/>
      <c r="D73" s="390"/>
      <c r="E73" s="390"/>
      <c r="F73" s="390"/>
      <c r="G73" s="390"/>
      <c r="H73" s="390"/>
      <c r="I73" s="390"/>
      <c r="J73" s="390"/>
      <c r="K73" s="390"/>
    </row>
    <row r="74" spans="1:3" s="78" customFormat="1" ht="12.75">
      <c r="A74" s="1"/>
      <c r="B74" s="91"/>
      <c r="C74" s="91"/>
    </row>
    <row r="75" spans="1:3" s="78" customFormat="1" ht="12.75">
      <c r="A75" s="1"/>
      <c r="B75" s="91"/>
      <c r="C75" s="91"/>
    </row>
    <row r="76" spans="1:3" s="78" customFormat="1" ht="12.75">
      <c r="A76" s="1"/>
      <c r="B76" s="91"/>
      <c r="C76" s="91"/>
    </row>
    <row r="77" s="78" customFormat="1" ht="12.75">
      <c r="A77" s="1"/>
    </row>
    <row r="78" s="78" customFormat="1" ht="12.75">
      <c r="A78" s="1"/>
    </row>
    <row r="79" s="78" customFormat="1" ht="12.75">
      <c r="A79" s="1"/>
    </row>
    <row r="80" s="78" customFormat="1" ht="12.75">
      <c r="A80" s="1"/>
    </row>
    <row r="81" s="78" customFormat="1" ht="12.75">
      <c r="A81" s="1"/>
    </row>
    <row r="82" s="78" customFormat="1" ht="12.75">
      <c r="A82" s="1"/>
    </row>
    <row r="83" s="78" customFormat="1" ht="12.75">
      <c r="A83" s="1"/>
    </row>
    <row r="84" s="78" customFormat="1" ht="12.75">
      <c r="A84" s="1"/>
    </row>
    <row r="85" s="78" customFormat="1" ht="12.75">
      <c r="A85" s="1"/>
    </row>
    <row r="86" s="78" customFormat="1" ht="12.75">
      <c r="A86" s="1"/>
    </row>
    <row r="87" s="78" customFormat="1" ht="12.75">
      <c r="A87" s="1"/>
    </row>
    <row r="88" s="78" customFormat="1" ht="12.75">
      <c r="A88" s="1"/>
    </row>
    <row r="89" s="78" customFormat="1" ht="12.75">
      <c r="A89" s="1"/>
    </row>
    <row r="90" s="78" customFormat="1" ht="12.75">
      <c r="A90" s="1"/>
    </row>
    <row r="91" s="78" customFormat="1" ht="12.75">
      <c r="A91" s="1"/>
    </row>
    <row r="92" s="78" customFormat="1" ht="12.75">
      <c r="A92" s="1"/>
    </row>
    <row r="93" s="78" customFormat="1" ht="12.75">
      <c r="A93" s="1"/>
    </row>
    <row r="94" s="78" customFormat="1" ht="12.75">
      <c r="A94" s="1"/>
    </row>
    <row r="95" s="78" customFormat="1" ht="12.75">
      <c r="A95" s="1"/>
    </row>
    <row r="96" s="78" customFormat="1" ht="12.75">
      <c r="A96" s="1"/>
    </row>
    <row r="97" s="78" customFormat="1" ht="12.75">
      <c r="A97" s="1"/>
    </row>
    <row r="98" s="78" customFormat="1" ht="12.75">
      <c r="A98" s="1"/>
    </row>
    <row r="99" s="78" customFormat="1" ht="12.75">
      <c r="A99" s="1"/>
    </row>
    <row r="100" s="78" customFormat="1" ht="12.75">
      <c r="A100" s="1"/>
    </row>
    <row r="101" s="78" customFormat="1" ht="12.75">
      <c r="A101" s="1"/>
    </row>
    <row r="102" s="78" customFormat="1" ht="12.75">
      <c r="A102" s="1"/>
    </row>
    <row r="103" s="78" customFormat="1" ht="12.75">
      <c r="A103" s="1"/>
    </row>
    <row r="104" s="78" customFormat="1" ht="12.75">
      <c r="A104" s="1"/>
    </row>
    <row r="105" s="78" customFormat="1" ht="12.75">
      <c r="A105" s="1"/>
    </row>
    <row r="106" s="78" customFormat="1" ht="12.75">
      <c r="A106" s="1"/>
    </row>
    <row r="107" s="78" customFormat="1" ht="12.75">
      <c r="A107" s="1"/>
    </row>
    <row r="108" s="78" customFormat="1" ht="12.75">
      <c r="A108" s="1"/>
    </row>
    <row r="109" s="78" customFormat="1" ht="12.75">
      <c r="A109" s="1"/>
    </row>
    <row r="110" s="78" customFormat="1" ht="12.75">
      <c r="A110" s="1"/>
    </row>
    <row r="111" s="78" customFormat="1" ht="12.75">
      <c r="A111" s="1"/>
    </row>
    <row r="112" s="78" customFormat="1" ht="12.75">
      <c r="A112" s="1"/>
    </row>
    <row r="113" s="78" customFormat="1" ht="12.75">
      <c r="A113" s="1"/>
    </row>
    <row r="114" s="78" customFormat="1" ht="12.75">
      <c r="A114" s="1"/>
    </row>
    <row r="115" s="78" customFormat="1" ht="12.75">
      <c r="A115" s="1"/>
    </row>
    <row r="116" s="78" customFormat="1" ht="12.75">
      <c r="A116" s="1"/>
    </row>
    <row r="117" s="78" customFormat="1" ht="12.75">
      <c r="A117" s="1"/>
    </row>
    <row r="118" s="78" customFormat="1" ht="12.75">
      <c r="A118" s="1"/>
    </row>
    <row r="119" s="78" customFormat="1" ht="12.75">
      <c r="A119" s="1"/>
    </row>
    <row r="120" s="78" customFormat="1" ht="12.75">
      <c r="A120" s="1"/>
    </row>
    <row r="121" s="78" customFormat="1" ht="12.75">
      <c r="A121" s="1"/>
    </row>
    <row r="122" s="78" customFormat="1" ht="12.75">
      <c r="A122" s="1"/>
    </row>
    <row r="123" s="78" customFormat="1" ht="12.75">
      <c r="A123" s="1"/>
    </row>
    <row r="124" s="78" customFormat="1" ht="12.75">
      <c r="A124" s="1"/>
    </row>
    <row r="125" s="78" customFormat="1" ht="12.75">
      <c r="A125" s="1"/>
    </row>
    <row r="126" s="78" customFormat="1" ht="12.75">
      <c r="A126" s="1"/>
    </row>
    <row r="127" s="78" customFormat="1" ht="12.75">
      <c r="A127" s="1"/>
    </row>
    <row r="128" s="78" customFormat="1" ht="12.75">
      <c r="A128" s="1"/>
    </row>
    <row r="129" s="78" customFormat="1" ht="12.75">
      <c r="A129" s="1"/>
    </row>
    <row r="130" s="78" customFormat="1" ht="12.75">
      <c r="A130" s="1"/>
    </row>
    <row r="131" s="78" customFormat="1" ht="12.75">
      <c r="A131" s="1"/>
    </row>
    <row r="132" s="78" customFormat="1" ht="12.75">
      <c r="A132" s="1"/>
    </row>
    <row r="133" s="78" customFormat="1" ht="12.75">
      <c r="A133" s="1"/>
    </row>
    <row r="134" s="78" customFormat="1" ht="12.75">
      <c r="A134" s="1"/>
    </row>
    <row r="135" s="78" customFormat="1" ht="12.75">
      <c r="A135" s="1"/>
    </row>
    <row r="136" s="78" customFormat="1" ht="12.75">
      <c r="A136" s="1"/>
    </row>
    <row r="137" s="78" customFormat="1" ht="12.75">
      <c r="A137" s="1"/>
    </row>
    <row r="138" s="78" customFormat="1" ht="12.75">
      <c r="A138" s="1"/>
    </row>
    <row r="139" s="78" customFormat="1" ht="12.75">
      <c r="A139" s="1"/>
    </row>
    <row r="140" s="78" customFormat="1" ht="12.75">
      <c r="A140" s="1"/>
    </row>
    <row r="141" s="78" customFormat="1" ht="12.75">
      <c r="A141" s="1"/>
    </row>
    <row r="142" s="78" customFormat="1" ht="12.75">
      <c r="A142" s="1"/>
    </row>
    <row r="143" s="78" customFormat="1" ht="12.75">
      <c r="A143" s="1"/>
    </row>
    <row r="144" s="78" customFormat="1" ht="12.75">
      <c r="A144" s="1"/>
    </row>
    <row r="145" s="78" customFormat="1" ht="12.75">
      <c r="A145" s="1"/>
    </row>
    <row r="146" s="78" customFormat="1" ht="12.75">
      <c r="A146" s="1"/>
    </row>
    <row r="147" s="78" customFormat="1" ht="12.75">
      <c r="A147" s="1"/>
    </row>
    <row r="148" s="78" customFormat="1" ht="12.75">
      <c r="A148" s="1"/>
    </row>
    <row r="149" s="78" customFormat="1" ht="12.75">
      <c r="A149" s="1"/>
    </row>
    <row r="150" s="78" customFormat="1" ht="12.75">
      <c r="A150" s="1"/>
    </row>
    <row r="151" s="78" customFormat="1" ht="12.75">
      <c r="A151" s="1"/>
    </row>
    <row r="152" s="78" customFormat="1" ht="12.75">
      <c r="A152" s="1"/>
    </row>
    <row r="153" s="78" customFormat="1" ht="12.75">
      <c r="A153" s="1"/>
    </row>
    <row r="154" s="78" customFormat="1" ht="12.75">
      <c r="A154" s="1"/>
    </row>
    <row r="155" s="78" customFormat="1" ht="12.75">
      <c r="A155" s="1"/>
    </row>
    <row r="156" s="78" customFormat="1" ht="12.75">
      <c r="A156" s="1"/>
    </row>
    <row r="157" s="78" customFormat="1" ht="12.75">
      <c r="A157" s="1"/>
    </row>
    <row r="158" s="78" customFormat="1" ht="12.75">
      <c r="A158" s="1"/>
    </row>
    <row r="159" s="78" customFormat="1" ht="12.75">
      <c r="A159" s="1"/>
    </row>
    <row r="160" s="78" customFormat="1" ht="12.75">
      <c r="A160" s="1"/>
    </row>
    <row r="161" s="78" customFormat="1" ht="12.75">
      <c r="A161" s="1"/>
    </row>
    <row r="162" s="78" customFormat="1" ht="12.75">
      <c r="A162" s="1"/>
    </row>
    <row r="163" s="78" customFormat="1" ht="12.75">
      <c r="A163" s="1"/>
    </row>
    <row r="164" s="78" customFormat="1" ht="12.75">
      <c r="A164" s="1"/>
    </row>
    <row r="165" s="78" customFormat="1" ht="12.75">
      <c r="A165" s="1"/>
    </row>
    <row r="166" s="78" customFormat="1" ht="12.75">
      <c r="A166" s="1"/>
    </row>
    <row r="167" s="78" customFormat="1" ht="12.75">
      <c r="A167" s="1"/>
    </row>
    <row r="168" s="78" customFormat="1" ht="12.75">
      <c r="A168" s="1"/>
    </row>
    <row r="169" s="78" customFormat="1" ht="12.75">
      <c r="A169" s="1"/>
    </row>
    <row r="170" s="78" customFormat="1" ht="12.75">
      <c r="A170" s="1"/>
    </row>
    <row r="171" s="78" customFormat="1" ht="12.75">
      <c r="A171" s="1"/>
    </row>
    <row r="172" s="78" customFormat="1" ht="12.75">
      <c r="A172" s="1"/>
    </row>
    <row r="173" s="78" customFormat="1" ht="12.75">
      <c r="A173" s="1"/>
    </row>
    <row r="174" s="78" customFormat="1" ht="12.75">
      <c r="A174" s="1"/>
    </row>
    <row r="175" s="78" customFormat="1" ht="12.75">
      <c r="A175" s="1"/>
    </row>
    <row r="176" s="78" customFormat="1" ht="12.75">
      <c r="A176" s="1"/>
    </row>
    <row r="177" s="78" customFormat="1" ht="12.75">
      <c r="A177" s="1"/>
    </row>
    <row r="178" s="78" customFormat="1" ht="12.75">
      <c r="A178" s="1"/>
    </row>
    <row r="179" s="78" customFormat="1" ht="12.75">
      <c r="A179" s="1"/>
    </row>
    <row r="180" s="78" customFormat="1" ht="12.75">
      <c r="A180" s="1"/>
    </row>
    <row r="181" s="78" customFormat="1" ht="12.75">
      <c r="A181" s="1"/>
    </row>
    <row r="182" s="78" customFormat="1" ht="12.75">
      <c r="A182" s="1"/>
    </row>
    <row r="183" s="78" customFormat="1" ht="12.75">
      <c r="A183" s="1"/>
    </row>
    <row r="184" s="78" customFormat="1" ht="12.75">
      <c r="A184" s="1"/>
    </row>
    <row r="185" s="78" customFormat="1" ht="12.75">
      <c r="A185" s="1"/>
    </row>
    <row r="186" s="78" customFormat="1" ht="12.75">
      <c r="A186" s="1"/>
    </row>
    <row r="187" s="78" customFormat="1" ht="12.75">
      <c r="A187" s="1"/>
    </row>
    <row r="188" s="78" customFormat="1" ht="12.75">
      <c r="A188" s="1"/>
    </row>
    <row r="189" s="78" customFormat="1" ht="12.75">
      <c r="A189" s="1"/>
    </row>
    <row r="190" s="78" customFormat="1" ht="12.75">
      <c r="A190" s="1"/>
    </row>
    <row r="191" s="78" customFormat="1" ht="12.75">
      <c r="A191" s="1"/>
    </row>
    <row r="192" s="78" customFormat="1" ht="12.75">
      <c r="A192" s="1"/>
    </row>
    <row r="193" s="78" customFormat="1" ht="12.75">
      <c r="A193" s="1"/>
    </row>
    <row r="194" s="78" customFormat="1" ht="12.75">
      <c r="A194" s="1"/>
    </row>
    <row r="195" s="78" customFormat="1" ht="12.75">
      <c r="A195" s="1"/>
    </row>
    <row r="196" s="78" customFormat="1" ht="12.75">
      <c r="A196" s="1"/>
    </row>
    <row r="197" s="78" customFormat="1" ht="12.75">
      <c r="A197" s="1"/>
    </row>
    <row r="198" s="78" customFormat="1" ht="12.75">
      <c r="A198" s="1"/>
    </row>
    <row r="199" s="78" customFormat="1" ht="12.75">
      <c r="A199" s="1"/>
    </row>
    <row r="200" s="78" customFormat="1" ht="12.75">
      <c r="A200" s="1"/>
    </row>
    <row r="201" s="78" customFormat="1" ht="12.75">
      <c r="A201" s="1"/>
    </row>
    <row r="202" s="78" customFormat="1" ht="12.75">
      <c r="A202" s="1"/>
    </row>
    <row r="203" s="78" customFormat="1" ht="12.75">
      <c r="A203" s="1"/>
    </row>
    <row r="204" s="78" customFormat="1" ht="12.75">
      <c r="A204" s="1"/>
    </row>
    <row r="205" s="78" customFormat="1" ht="12.75">
      <c r="A205" s="1"/>
    </row>
    <row r="206" s="78" customFormat="1" ht="12.75">
      <c r="A206" s="1"/>
    </row>
    <row r="207" s="78" customFormat="1" ht="12.75">
      <c r="A207" s="1"/>
    </row>
    <row r="208" s="78" customFormat="1" ht="12.75">
      <c r="A208" s="1"/>
    </row>
    <row r="209" s="78" customFormat="1" ht="12.75">
      <c r="A209" s="1"/>
    </row>
    <row r="210" s="78" customFormat="1" ht="12.75">
      <c r="A210" s="1"/>
    </row>
    <row r="211" s="78" customFormat="1" ht="12.75">
      <c r="A211" s="1"/>
    </row>
    <row r="212" s="78" customFormat="1" ht="12.75">
      <c r="A212" s="1"/>
    </row>
    <row r="213" s="78" customFormat="1" ht="12.75">
      <c r="A213" s="1"/>
    </row>
    <row r="214" s="78" customFormat="1" ht="12.75">
      <c r="A214" s="1"/>
    </row>
    <row r="215" s="78" customFormat="1" ht="12.75">
      <c r="A215" s="1"/>
    </row>
    <row r="216" s="78" customFormat="1" ht="12.75">
      <c r="A216" s="1"/>
    </row>
    <row r="217" s="78" customFormat="1" ht="12.75">
      <c r="A217" s="1"/>
    </row>
    <row r="218" s="78" customFormat="1" ht="12.75">
      <c r="A218" s="1"/>
    </row>
    <row r="219" s="78" customFormat="1" ht="12.75">
      <c r="A219" s="1"/>
    </row>
    <row r="220" s="78" customFormat="1" ht="12.75">
      <c r="A220" s="1"/>
    </row>
    <row r="221" s="78" customFormat="1" ht="12.75">
      <c r="A221" s="1"/>
    </row>
    <row r="222" s="78" customFormat="1" ht="12.75">
      <c r="A222" s="1"/>
    </row>
    <row r="223" s="78" customFormat="1" ht="12.75">
      <c r="A223" s="1"/>
    </row>
    <row r="224" s="78" customFormat="1" ht="12.75">
      <c r="A224" s="1"/>
    </row>
    <row r="225" s="78" customFormat="1" ht="12.75">
      <c r="A225" s="1"/>
    </row>
    <row r="226" s="78" customFormat="1" ht="12.75">
      <c r="A226" s="1"/>
    </row>
    <row r="227" s="78" customFormat="1" ht="12.75">
      <c r="A227" s="1"/>
    </row>
    <row r="228" s="78" customFormat="1" ht="12.75">
      <c r="A228" s="1"/>
    </row>
    <row r="229" s="78" customFormat="1" ht="12.75">
      <c r="A229" s="1"/>
    </row>
    <row r="230" s="78" customFormat="1" ht="12.75">
      <c r="A230" s="1"/>
    </row>
    <row r="231" s="78" customFormat="1" ht="12.75">
      <c r="A231" s="1"/>
    </row>
    <row r="232" s="78" customFormat="1" ht="12.75">
      <c r="A232" s="1"/>
    </row>
    <row r="233" s="78" customFormat="1" ht="12.75">
      <c r="A233" s="1"/>
    </row>
    <row r="234" s="78" customFormat="1" ht="12.75">
      <c r="A234" s="1"/>
    </row>
    <row r="235" s="78" customFormat="1" ht="12.75">
      <c r="A235" s="1"/>
    </row>
    <row r="236" s="78" customFormat="1" ht="12.75">
      <c r="A236" s="1"/>
    </row>
    <row r="237" s="78" customFormat="1" ht="12.75">
      <c r="A237" s="1"/>
    </row>
    <row r="238" s="78" customFormat="1" ht="12.75">
      <c r="A238" s="1"/>
    </row>
    <row r="239" s="78" customFormat="1" ht="12.75">
      <c r="A239" s="1"/>
    </row>
    <row r="240" s="78" customFormat="1" ht="12.75">
      <c r="A240" s="1"/>
    </row>
    <row r="241" s="78" customFormat="1" ht="12.75">
      <c r="A241" s="1"/>
    </row>
    <row r="242" s="78" customFormat="1" ht="12.75">
      <c r="A242" s="1"/>
    </row>
    <row r="243" s="78" customFormat="1" ht="12.75">
      <c r="A243" s="1"/>
    </row>
    <row r="244" s="78" customFormat="1" ht="12.75">
      <c r="A244" s="1"/>
    </row>
    <row r="245" s="78" customFormat="1" ht="12.75">
      <c r="A245" s="1"/>
    </row>
    <row r="246" s="78" customFormat="1" ht="12.75">
      <c r="A246" s="1"/>
    </row>
    <row r="247" s="78" customFormat="1" ht="12.75">
      <c r="A247" s="1"/>
    </row>
    <row r="248" s="78" customFormat="1" ht="12.75">
      <c r="A248" s="1"/>
    </row>
    <row r="249" s="78" customFormat="1" ht="12.75">
      <c r="A249" s="1"/>
    </row>
    <row r="250" s="78" customFormat="1" ht="12.75">
      <c r="A250" s="1"/>
    </row>
    <row r="251" s="78" customFormat="1" ht="12.75">
      <c r="A251" s="1"/>
    </row>
    <row r="252" s="78" customFormat="1" ht="12.75">
      <c r="A252" s="1"/>
    </row>
    <row r="253" s="78" customFormat="1" ht="12.75">
      <c r="A253" s="1"/>
    </row>
    <row r="254" s="78" customFormat="1" ht="12.75">
      <c r="A254" s="1"/>
    </row>
    <row r="255" s="78" customFormat="1" ht="12.75">
      <c r="A255" s="1"/>
    </row>
    <row r="256" s="78" customFormat="1" ht="12.75">
      <c r="A256" s="1"/>
    </row>
    <row r="257" s="78" customFormat="1" ht="12.75">
      <c r="A257" s="1"/>
    </row>
    <row r="258" s="78" customFormat="1" ht="12.75">
      <c r="A258" s="1"/>
    </row>
    <row r="259" s="78" customFormat="1" ht="12.75">
      <c r="A259" s="1"/>
    </row>
    <row r="260" s="78" customFormat="1" ht="12.75">
      <c r="A260" s="1"/>
    </row>
    <row r="261" s="78" customFormat="1" ht="12.75">
      <c r="A261" s="1"/>
    </row>
    <row r="262" s="78" customFormat="1" ht="12.75">
      <c r="A262" s="1"/>
    </row>
    <row r="263" s="78" customFormat="1" ht="12.75">
      <c r="A263" s="1"/>
    </row>
    <row r="264" s="78" customFormat="1" ht="12.75">
      <c r="A264" s="1"/>
    </row>
    <row r="265" s="78" customFormat="1" ht="12.75">
      <c r="A265" s="1"/>
    </row>
    <row r="266" s="78" customFormat="1" ht="12.75">
      <c r="A266" s="1"/>
    </row>
    <row r="267" s="78" customFormat="1" ht="12.75">
      <c r="A267" s="1"/>
    </row>
    <row r="268" s="78" customFormat="1" ht="12.75">
      <c r="A268" s="1"/>
    </row>
    <row r="269" s="78" customFormat="1" ht="12.75">
      <c r="A269" s="1"/>
    </row>
    <row r="270" s="78" customFormat="1" ht="12.75">
      <c r="A270" s="1"/>
    </row>
    <row r="271" s="78" customFormat="1" ht="12.75">
      <c r="A271" s="1"/>
    </row>
    <row r="272" s="78" customFormat="1" ht="12.75">
      <c r="A272" s="1"/>
    </row>
    <row r="273" s="78" customFormat="1" ht="12.75">
      <c r="A273" s="1"/>
    </row>
    <row r="274" s="78" customFormat="1" ht="12.75">
      <c r="A274" s="1"/>
    </row>
    <row r="275" s="78" customFormat="1" ht="12.75">
      <c r="A275" s="1"/>
    </row>
    <row r="276" s="78" customFormat="1" ht="12.75">
      <c r="A276" s="1"/>
    </row>
    <row r="277" s="78" customFormat="1" ht="12.75">
      <c r="A277" s="1"/>
    </row>
    <row r="278" s="78" customFormat="1" ht="12.75">
      <c r="A278" s="1"/>
    </row>
    <row r="279" s="78" customFormat="1" ht="12.75">
      <c r="A279" s="1"/>
    </row>
    <row r="280" s="78" customFormat="1" ht="12.75">
      <c r="A280" s="1"/>
    </row>
    <row r="281" s="78" customFormat="1" ht="12.75">
      <c r="A281" s="1"/>
    </row>
    <row r="282" s="78" customFormat="1" ht="12.75">
      <c r="A282" s="1"/>
    </row>
    <row r="283" s="78" customFormat="1" ht="12.75">
      <c r="A283" s="1"/>
    </row>
    <row r="284" s="78" customFormat="1" ht="12.75">
      <c r="A284" s="1"/>
    </row>
    <row r="285" s="78" customFormat="1" ht="12.75">
      <c r="A285" s="1"/>
    </row>
    <row r="286" s="78" customFormat="1" ht="12.75">
      <c r="A286" s="1"/>
    </row>
    <row r="287" s="78" customFormat="1" ht="12.75">
      <c r="A287" s="1"/>
    </row>
    <row r="288" s="78" customFormat="1" ht="12.75">
      <c r="A288" s="1"/>
    </row>
    <row r="289" s="78" customFormat="1" ht="12.75">
      <c r="A289" s="1"/>
    </row>
    <row r="290" s="78" customFormat="1" ht="12.75">
      <c r="A290" s="1"/>
    </row>
    <row r="291" s="78" customFormat="1" ht="12.75">
      <c r="A291" s="1"/>
    </row>
    <row r="292" s="78" customFormat="1" ht="12.75">
      <c r="A292" s="1"/>
    </row>
    <row r="293" s="78" customFormat="1" ht="12.75">
      <c r="A293" s="1"/>
    </row>
    <row r="294" s="78" customFormat="1" ht="12.75">
      <c r="A294" s="1"/>
    </row>
    <row r="295" s="78" customFormat="1" ht="12.75">
      <c r="A295" s="1"/>
    </row>
    <row r="296" s="78" customFormat="1" ht="12.75">
      <c r="A296" s="1"/>
    </row>
    <row r="297" s="78" customFormat="1" ht="12.75">
      <c r="A297" s="1"/>
    </row>
    <row r="298" s="78" customFormat="1" ht="12.75">
      <c r="A298" s="1"/>
    </row>
    <row r="299" s="78" customFormat="1" ht="12.75">
      <c r="A299" s="1"/>
    </row>
    <row r="300" s="78" customFormat="1" ht="12.75">
      <c r="A300" s="1"/>
    </row>
    <row r="301" s="78" customFormat="1" ht="12.75">
      <c r="A301" s="1"/>
    </row>
    <row r="302" s="78" customFormat="1" ht="12.75">
      <c r="A302" s="1"/>
    </row>
    <row r="303" s="78" customFormat="1" ht="12.75">
      <c r="A303" s="1"/>
    </row>
    <row r="304" s="78" customFormat="1" ht="12.75">
      <c r="A304" s="1"/>
    </row>
    <row r="305" s="78" customFormat="1" ht="12.75">
      <c r="A305" s="1"/>
    </row>
    <row r="306" s="78" customFormat="1" ht="12.75">
      <c r="A306" s="1"/>
    </row>
    <row r="307" s="78" customFormat="1" ht="12.75">
      <c r="A307" s="1"/>
    </row>
    <row r="308" s="78" customFormat="1" ht="12.75">
      <c r="A308" s="1"/>
    </row>
    <row r="309" s="78" customFormat="1" ht="12.75">
      <c r="A309" s="1"/>
    </row>
    <row r="310" s="78" customFormat="1" ht="12.75">
      <c r="A310" s="1"/>
    </row>
    <row r="311" s="78" customFormat="1" ht="12.75">
      <c r="A311" s="1"/>
    </row>
    <row r="312" s="78" customFormat="1" ht="12.75">
      <c r="A312" s="1"/>
    </row>
    <row r="313" s="78" customFormat="1" ht="12.75">
      <c r="A313" s="1"/>
    </row>
    <row r="314" s="78" customFormat="1" ht="12.75">
      <c r="A314" s="1"/>
    </row>
    <row r="315" s="78" customFormat="1" ht="12.75">
      <c r="A315" s="1"/>
    </row>
    <row r="316" s="78" customFormat="1" ht="12.75">
      <c r="A316" s="1"/>
    </row>
    <row r="317" s="78" customFormat="1" ht="12.75">
      <c r="A317" s="1"/>
    </row>
    <row r="318" s="78" customFormat="1" ht="12.75">
      <c r="A318" s="1"/>
    </row>
    <row r="319" s="78" customFormat="1" ht="12.75">
      <c r="A319" s="1"/>
    </row>
    <row r="320" s="78" customFormat="1" ht="12.75">
      <c r="A320" s="1"/>
    </row>
    <row r="321" s="78" customFormat="1" ht="12.75">
      <c r="A321" s="1"/>
    </row>
    <row r="322" s="78" customFormat="1" ht="12.75">
      <c r="A322" s="1"/>
    </row>
    <row r="323" s="78" customFormat="1" ht="12.75">
      <c r="A323" s="1"/>
    </row>
    <row r="324" s="78" customFormat="1" ht="12.75">
      <c r="A324" s="1"/>
    </row>
    <row r="325" s="78" customFormat="1" ht="12.75">
      <c r="A325" s="1"/>
    </row>
    <row r="326" s="78" customFormat="1" ht="12.75">
      <c r="A326" s="1"/>
    </row>
    <row r="327" s="78" customFormat="1" ht="12.75">
      <c r="A327" s="1"/>
    </row>
    <row r="328" s="78" customFormat="1" ht="12.75">
      <c r="A328" s="1"/>
    </row>
    <row r="329" s="78" customFormat="1" ht="12.75">
      <c r="A329" s="1"/>
    </row>
    <row r="330" s="78" customFormat="1" ht="12.75">
      <c r="A330" s="1"/>
    </row>
    <row r="331" s="78" customFormat="1" ht="12.75">
      <c r="A331" s="1"/>
    </row>
    <row r="332" s="78" customFormat="1" ht="12.75">
      <c r="A332" s="1"/>
    </row>
    <row r="333" s="78" customFormat="1" ht="12.75">
      <c r="A333" s="1"/>
    </row>
    <row r="334" s="78" customFormat="1" ht="12.75">
      <c r="A334" s="1"/>
    </row>
    <row r="335" s="78" customFormat="1" ht="12.75">
      <c r="A335" s="1"/>
    </row>
    <row r="336" s="78" customFormat="1" ht="12.75">
      <c r="A336" s="1"/>
    </row>
    <row r="337" s="78" customFormat="1" ht="12.75">
      <c r="A337" s="1"/>
    </row>
    <row r="338" s="78" customFormat="1" ht="12.75">
      <c r="A338" s="1"/>
    </row>
    <row r="339" s="78" customFormat="1" ht="12.75">
      <c r="A339" s="1"/>
    </row>
    <row r="340" s="78" customFormat="1" ht="12.75">
      <c r="A340" s="1"/>
    </row>
    <row r="341" s="78" customFormat="1" ht="12.75">
      <c r="A341" s="1"/>
    </row>
    <row r="342" s="78" customFormat="1" ht="12.75">
      <c r="A342" s="1"/>
    </row>
    <row r="343" s="78" customFormat="1" ht="12.75">
      <c r="A343" s="1"/>
    </row>
    <row r="344" s="78" customFormat="1" ht="12.75">
      <c r="A344" s="1"/>
    </row>
    <row r="345" s="78" customFormat="1" ht="12.75">
      <c r="A345" s="1"/>
    </row>
    <row r="346" s="78" customFormat="1" ht="12.75">
      <c r="A346" s="1"/>
    </row>
    <row r="347" s="78" customFormat="1" ht="12.75">
      <c r="A347" s="1"/>
    </row>
    <row r="348" s="78" customFormat="1" ht="12.75">
      <c r="A348" s="1"/>
    </row>
    <row r="349" s="78" customFormat="1" ht="12.75">
      <c r="A349" s="1"/>
    </row>
    <row r="350" s="78" customFormat="1" ht="12.75">
      <c r="A350" s="1"/>
    </row>
    <row r="351" s="78" customFormat="1" ht="12.75">
      <c r="A351" s="1"/>
    </row>
  </sheetData>
  <sheetProtection/>
  <mergeCells count="6">
    <mergeCell ref="B1:C1"/>
    <mergeCell ref="J1:K1"/>
    <mergeCell ref="D1:E1"/>
    <mergeCell ref="F1:G1"/>
    <mergeCell ref="H1:I1"/>
    <mergeCell ref="A73:K73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  <ignoredErrors>
    <ignoredError sqref="J44:J45 J43 J46 J36:J42 H44:H46 E46 H43 D44:D46 F44:F46 E44:E45 G44 F47 G48 D47 H47 J48 J47 C49 D48 B47:B48 G47 I47:I48 H49 F48 K47:K48 H48 E47:E48 C47:C48 K49 I49 J49 G49 K50 J50 I50 G50 H50 F49 E49 D49 E5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I77"/>
  <sheetViews>
    <sheetView showGridLines="0" zoomScalePageLayoutView="0" workbookViewId="0" topLeftCell="A1">
      <pane ySplit="1155" topLeftCell="A44" activePane="bottomLeft" state="split"/>
      <selection pane="topLeft" activeCell="B61" sqref="B61"/>
      <selection pane="bottomLeft" activeCell="A64" sqref="A64"/>
    </sheetView>
  </sheetViews>
  <sheetFormatPr defaultColWidth="9.140625" defaultRowHeight="12.75"/>
  <cols>
    <col min="1" max="1" width="5.7109375" style="1" customWidth="1"/>
    <col min="2" max="9" width="9.7109375" style="0" customWidth="1"/>
  </cols>
  <sheetData>
    <row r="1" spans="1:9" s="6" customFormat="1" ht="20.25" customHeight="1">
      <c r="A1" s="16"/>
      <c r="B1" s="389" t="s">
        <v>4</v>
      </c>
      <c r="C1" s="386"/>
      <c r="D1" s="383" t="s">
        <v>5</v>
      </c>
      <c r="E1" s="384"/>
      <c r="F1" s="383" t="s">
        <v>6</v>
      </c>
      <c r="G1" s="386"/>
      <c r="H1" s="383" t="s">
        <v>8</v>
      </c>
      <c r="I1" s="385"/>
    </row>
    <row r="2" spans="1:9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</row>
    <row r="3" spans="1:9" ht="17.25" customHeight="1" thickTop="1">
      <c r="A3" s="17">
        <v>1964</v>
      </c>
      <c r="B3" s="8"/>
      <c r="C3" s="9"/>
      <c r="D3" s="8"/>
      <c r="E3" s="9"/>
      <c r="F3" s="8"/>
      <c r="G3" s="9"/>
      <c r="H3" s="8"/>
      <c r="I3" s="9"/>
    </row>
    <row r="4" spans="1:9" ht="12.75">
      <c r="A4" s="17">
        <v>1965</v>
      </c>
      <c r="B4" s="8"/>
      <c r="C4" s="40"/>
      <c r="D4" s="8"/>
      <c r="E4" s="10"/>
      <c r="F4" s="8"/>
      <c r="G4" s="10"/>
      <c r="H4" s="8"/>
      <c r="I4" s="11"/>
    </row>
    <row r="5" spans="1:9" ht="12.75">
      <c r="A5" s="17">
        <v>1966</v>
      </c>
      <c r="B5" s="8"/>
      <c r="C5" s="40"/>
      <c r="D5" s="8"/>
      <c r="E5" s="10"/>
      <c r="F5" s="8"/>
      <c r="G5" s="10"/>
      <c r="H5" s="8"/>
      <c r="I5" s="11"/>
    </row>
    <row r="6" spans="1:9" ht="12.75">
      <c r="A6" s="17">
        <v>1967</v>
      </c>
      <c r="B6" s="8"/>
      <c r="C6" s="40"/>
      <c r="D6" s="8"/>
      <c r="E6" s="10"/>
      <c r="F6" s="8"/>
      <c r="G6" s="10"/>
      <c r="H6" s="8"/>
      <c r="I6" s="11"/>
    </row>
    <row r="7" spans="1:9" ht="12.75">
      <c r="A7" s="17">
        <v>1968</v>
      </c>
      <c r="B7" s="8"/>
      <c r="C7" s="40"/>
      <c r="D7" s="8"/>
      <c r="E7" s="10"/>
      <c r="F7" s="8"/>
      <c r="G7" s="10"/>
      <c r="H7" s="8"/>
      <c r="I7" s="11"/>
    </row>
    <row r="8" spans="1:9" ht="12.75">
      <c r="A8" s="17">
        <v>1969</v>
      </c>
      <c r="B8" s="8"/>
      <c r="C8" s="40"/>
      <c r="D8" s="8"/>
      <c r="E8" s="10"/>
      <c r="F8" s="8"/>
      <c r="G8" s="10"/>
      <c r="H8" s="8"/>
      <c r="I8" s="11"/>
    </row>
    <row r="9" spans="1:9" ht="12.75">
      <c r="A9" s="17">
        <v>1970</v>
      </c>
      <c r="B9" s="8"/>
      <c r="C9" s="40"/>
      <c r="D9" s="8"/>
      <c r="E9" s="10"/>
      <c r="F9" s="8"/>
      <c r="G9" s="10"/>
      <c r="H9" s="8"/>
      <c r="I9" s="11"/>
    </row>
    <row r="10" spans="1:9" ht="12.75">
      <c r="A10" s="17">
        <v>1971</v>
      </c>
      <c r="B10" s="8"/>
      <c r="C10" s="40"/>
      <c r="D10" s="8"/>
      <c r="E10" s="10"/>
      <c r="F10" s="8"/>
      <c r="G10" s="10"/>
      <c r="H10" s="8"/>
      <c r="I10" s="11"/>
    </row>
    <row r="11" spans="1:9" ht="12.75">
      <c r="A11" s="17">
        <v>1972</v>
      </c>
      <c r="B11" s="8"/>
      <c r="C11" s="40"/>
      <c r="D11" s="8"/>
      <c r="E11" s="10"/>
      <c r="F11" s="8"/>
      <c r="G11" s="10"/>
      <c r="H11" s="8"/>
      <c r="I11" s="11"/>
    </row>
    <row r="12" spans="1:9" ht="12.75">
      <c r="A12" s="17">
        <v>1973</v>
      </c>
      <c r="B12" s="8"/>
      <c r="C12" s="40"/>
      <c r="D12" s="8"/>
      <c r="E12" s="10"/>
      <c r="F12" s="8"/>
      <c r="G12" s="10"/>
      <c r="H12" s="8"/>
      <c r="I12" s="11"/>
    </row>
    <row r="13" spans="1:9" ht="12.75">
      <c r="A13" s="17">
        <v>1974</v>
      </c>
      <c r="B13" s="8"/>
      <c r="C13" s="40"/>
      <c r="D13" s="8"/>
      <c r="E13" s="10"/>
      <c r="F13" s="8"/>
      <c r="G13" s="10"/>
      <c r="H13" s="8"/>
      <c r="I13" s="11"/>
    </row>
    <row r="14" spans="1:9" ht="12.75">
      <c r="A14" s="17">
        <v>1975</v>
      </c>
      <c r="B14" s="8"/>
      <c r="C14" s="40"/>
      <c r="D14" s="8"/>
      <c r="E14" s="10"/>
      <c r="F14" s="8"/>
      <c r="G14" s="10"/>
      <c r="H14" s="8"/>
      <c r="I14" s="11"/>
    </row>
    <row r="15" spans="1:9" ht="12.75">
      <c r="A15" s="17">
        <v>1976</v>
      </c>
      <c r="B15" s="8"/>
      <c r="C15" s="40"/>
      <c r="D15" s="8"/>
      <c r="E15" s="10"/>
      <c r="F15" s="8"/>
      <c r="G15" s="10"/>
      <c r="H15" s="8"/>
      <c r="I15" s="11"/>
    </row>
    <row r="16" spans="1:9" ht="12.75">
      <c r="A16" s="17">
        <v>1977</v>
      </c>
      <c r="B16" s="8"/>
      <c r="C16" s="40"/>
      <c r="D16" s="8"/>
      <c r="E16" s="10"/>
      <c r="F16" s="8"/>
      <c r="G16" s="10"/>
      <c r="H16" s="8"/>
      <c r="I16" s="11"/>
    </row>
    <row r="17" spans="1:9" ht="12.75">
      <c r="A17" s="17">
        <v>1978</v>
      </c>
      <c r="B17" s="8"/>
      <c r="C17" s="40"/>
      <c r="D17" s="8"/>
      <c r="E17" s="10"/>
      <c r="F17" s="8"/>
      <c r="G17" s="10"/>
      <c r="H17" s="8"/>
      <c r="I17" s="11"/>
    </row>
    <row r="18" spans="1:9" ht="12.75">
      <c r="A18" s="17">
        <v>1979</v>
      </c>
      <c r="B18" s="8"/>
      <c r="C18" s="40"/>
      <c r="D18" s="8"/>
      <c r="E18" s="10"/>
      <c r="F18" s="8"/>
      <c r="G18" s="10"/>
      <c r="H18" s="8"/>
      <c r="I18" s="11"/>
    </row>
    <row r="19" spans="1:9" ht="12.75">
      <c r="A19" s="17">
        <v>1980</v>
      </c>
      <c r="B19" s="8"/>
      <c r="C19" s="40"/>
      <c r="D19" s="8"/>
      <c r="E19" s="10"/>
      <c r="F19" s="8"/>
      <c r="G19" s="10"/>
      <c r="H19" s="8"/>
      <c r="I19" s="11"/>
    </row>
    <row r="20" spans="1:9" ht="12.75">
      <c r="A20" s="17">
        <v>1981</v>
      </c>
      <c r="B20" s="8"/>
      <c r="C20" s="40"/>
      <c r="D20" s="8"/>
      <c r="E20" s="10"/>
      <c r="F20" s="8"/>
      <c r="G20" s="10"/>
      <c r="H20" s="8"/>
      <c r="I20" s="11"/>
    </row>
    <row r="21" spans="1:9" ht="12.75">
      <c r="A21" s="17">
        <v>1982</v>
      </c>
      <c r="B21" s="8"/>
      <c r="C21" s="40"/>
      <c r="D21" s="8"/>
      <c r="E21" s="10"/>
      <c r="F21" s="8"/>
      <c r="G21" s="10"/>
      <c r="H21" s="8"/>
      <c r="I21" s="11"/>
    </row>
    <row r="22" spans="1:9" ht="12.75">
      <c r="A22" s="17">
        <v>1983</v>
      </c>
      <c r="B22" s="8"/>
      <c r="C22" s="40"/>
      <c r="D22" s="8"/>
      <c r="E22" s="10"/>
      <c r="F22" s="8"/>
      <c r="G22" s="10"/>
      <c r="H22" s="8"/>
      <c r="I22" s="11"/>
    </row>
    <row r="23" spans="1:9" ht="12.75">
      <c r="A23" s="17">
        <v>1984</v>
      </c>
      <c r="B23" s="62">
        <f>'Le-AD+LD+Dom'!B23</f>
        <v>1</v>
      </c>
      <c r="C23" s="63">
        <f>'Le-AD+LD+Dom'!C23</f>
        <v>1</v>
      </c>
      <c r="D23" s="62"/>
      <c r="E23" s="64"/>
      <c r="F23" s="62"/>
      <c r="G23" s="64"/>
      <c r="H23" s="62">
        <f>'Le-AD+LD+Dom'!AA23</f>
        <v>1</v>
      </c>
      <c r="I23" s="65">
        <f>'Le-AD+LD+Dom'!AB23</f>
        <v>1</v>
      </c>
    </row>
    <row r="24" spans="1:9" ht="12.75">
      <c r="A24" s="17">
        <v>1985</v>
      </c>
      <c r="B24" s="62">
        <f>'Le-AD+LD+Dom'!B24</f>
        <v>4</v>
      </c>
      <c r="C24" s="63">
        <f>'Le-AD+LD+Dom'!C24</f>
        <v>5</v>
      </c>
      <c r="D24" s="62"/>
      <c r="E24" s="64"/>
      <c r="F24" s="62">
        <f>'Le-AD+LD+Dom'!S24</f>
        <v>8</v>
      </c>
      <c r="G24" s="64">
        <f>'Le-AD+LD+Dom'!T24</f>
        <v>8</v>
      </c>
      <c r="H24" s="62">
        <f>'Le-AD+LD+Dom'!AA24</f>
        <v>12</v>
      </c>
      <c r="I24" s="65">
        <f>'Le-AD+LD+Dom'!AB24</f>
        <v>13</v>
      </c>
    </row>
    <row r="25" spans="1:9" ht="12.75">
      <c r="A25" s="17">
        <v>1986</v>
      </c>
      <c r="B25" s="62">
        <f>'Le-AD+LD+Dom'!B25</f>
        <v>9</v>
      </c>
      <c r="C25" s="63">
        <f>'Le-AD+LD+Dom'!C25</f>
        <v>14</v>
      </c>
      <c r="D25" s="62"/>
      <c r="E25" s="64"/>
      <c r="F25" s="62">
        <f>'Le-AD+LD+Dom'!S25</f>
        <v>10</v>
      </c>
      <c r="G25" s="64">
        <f>'Le-AD+LD+Dom'!T25</f>
        <v>18</v>
      </c>
      <c r="H25" s="62">
        <f>'Le-AD+LD+Dom'!AA25</f>
        <v>19</v>
      </c>
      <c r="I25" s="65">
        <f>'Le-AD+LD+Dom'!AB25</f>
        <v>32</v>
      </c>
    </row>
    <row r="26" spans="1:9" ht="12.75">
      <c r="A26" s="17">
        <v>1987</v>
      </c>
      <c r="B26" s="62">
        <f>'Le-AD+LD+Dom'!B26</f>
        <v>16</v>
      </c>
      <c r="C26" s="63">
        <f>'Le-AD+LD+Dom'!C26</f>
        <v>30</v>
      </c>
      <c r="D26" s="62"/>
      <c r="E26" s="64"/>
      <c r="F26" s="62">
        <f>'Le-AD+LD+Dom'!S26</f>
        <v>10</v>
      </c>
      <c r="G26" s="64">
        <f>'Le-AD+LD+Dom'!T26</f>
        <v>28</v>
      </c>
      <c r="H26" s="62">
        <f>'Le-AD+LD+Dom'!AA26</f>
        <v>26</v>
      </c>
      <c r="I26" s="65">
        <f>'Le-AD+LD+Dom'!AB26</f>
        <v>58</v>
      </c>
    </row>
    <row r="27" spans="1:9" ht="12.75">
      <c r="A27" s="17">
        <v>1988</v>
      </c>
      <c r="B27" s="62">
        <f>'Le-AD+LD+Dom'!B27</f>
        <v>19</v>
      </c>
      <c r="C27" s="63">
        <f>'Le-AD+LD+Dom'!C27</f>
        <v>49</v>
      </c>
      <c r="D27" s="62">
        <f>'Le-AD+LD+Dom'!J27</f>
        <v>1</v>
      </c>
      <c r="E27" s="64">
        <f>'Le-AD+LD+Dom'!K27</f>
        <v>1</v>
      </c>
      <c r="F27" s="62">
        <f>'Le-AD+LD+Dom'!S27</f>
        <v>22</v>
      </c>
      <c r="G27" s="64">
        <f>'Le-AD+LD+Dom'!T27</f>
        <v>50</v>
      </c>
      <c r="H27" s="62">
        <f>'Le-AD+LD+Dom'!AA27</f>
        <v>42</v>
      </c>
      <c r="I27" s="65">
        <f>'Le-AD+LD+Dom'!AB27</f>
        <v>100</v>
      </c>
    </row>
    <row r="28" spans="1:9" ht="12.75">
      <c r="A28" s="17">
        <v>1989</v>
      </c>
      <c r="B28" s="62">
        <f>'Le-AD+LD+Dom'!B28</f>
        <v>19</v>
      </c>
      <c r="C28" s="63">
        <f>'Le-AD+LD+Dom'!C28</f>
        <v>68</v>
      </c>
      <c r="D28" s="62"/>
      <c r="E28" s="64">
        <f>'Le-AD+LD+Dom'!K28</f>
        <v>1</v>
      </c>
      <c r="F28" s="62">
        <f>'Le-AD+LD+Dom'!S28</f>
        <v>20</v>
      </c>
      <c r="G28" s="64">
        <f>'Le-AD+LD+Dom'!T28</f>
        <v>70</v>
      </c>
      <c r="H28" s="62">
        <f>'Le-AD+LD+Dom'!AA28</f>
        <v>39</v>
      </c>
      <c r="I28" s="65">
        <f>'Le-AD+LD+Dom'!AB28</f>
        <v>139</v>
      </c>
    </row>
    <row r="29" spans="1:9" ht="12.75">
      <c r="A29" s="17">
        <v>1990</v>
      </c>
      <c r="B29" s="62">
        <f>'Le-AD+LD+Dom'!B29</f>
        <v>23</v>
      </c>
      <c r="C29" s="63">
        <f>'Le-AD+LD+Dom'!C29</f>
        <v>91</v>
      </c>
      <c r="D29" s="62">
        <f>'Le-AD+LD+Dom'!J29</f>
        <v>1</v>
      </c>
      <c r="E29" s="64">
        <f>'Le-AD+LD+Dom'!K29</f>
        <v>2</v>
      </c>
      <c r="F29" s="62">
        <f>'Le-AD+LD+Dom'!S29</f>
        <v>24</v>
      </c>
      <c r="G29" s="64">
        <f>'Le-AD+LD+Dom'!T29</f>
        <v>94</v>
      </c>
      <c r="H29" s="62">
        <f>'Le-AD+LD+Dom'!AA29</f>
        <v>48</v>
      </c>
      <c r="I29" s="65">
        <f>'Le-AD+LD+Dom'!AB29</f>
        <v>187</v>
      </c>
    </row>
    <row r="30" spans="1:9" ht="12.75">
      <c r="A30" s="17">
        <v>1991</v>
      </c>
      <c r="B30" s="62">
        <f>'Le-AD+LD+Dom'!B30</f>
        <v>35</v>
      </c>
      <c r="C30" s="63">
        <f>'Le-AD+LD+Dom'!C30</f>
        <v>126</v>
      </c>
      <c r="D30" s="62">
        <f>'Le-AD+LD+Dom'!J30</f>
        <v>0</v>
      </c>
      <c r="E30" s="64">
        <f>'Le-AD+LD+Dom'!K30</f>
        <v>2</v>
      </c>
      <c r="F30" s="62">
        <f>'Le-AD+LD+Dom'!S30</f>
        <v>27</v>
      </c>
      <c r="G30" s="64">
        <f>'Le-AD+LD+Dom'!T30</f>
        <v>121</v>
      </c>
      <c r="H30" s="62">
        <f>'Le-AD+LD+Dom'!AA30</f>
        <v>62</v>
      </c>
      <c r="I30" s="65">
        <f>'Le-AD+LD+Dom'!AB30</f>
        <v>249</v>
      </c>
    </row>
    <row r="31" spans="1:9" ht="12.75">
      <c r="A31" s="17">
        <v>1992</v>
      </c>
      <c r="B31" s="62">
        <f>'Le-AD+LD+Dom'!B31</f>
        <v>29</v>
      </c>
      <c r="C31" s="63">
        <f>'Le-AD+LD+Dom'!C31</f>
        <v>155</v>
      </c>
      <c r="D31" s="62">
        <f>'Le-AD+LD+Dom'!J31</f>
        <v>6</v>
      </c>
      <c r="E31" s="64">
        <f>'Le-AD+LD+Dom'!K31</f>
        <v>8</v>
      </c>
      <c r="F31" s="62">
        <f>'Le-AD+LD+Dom'!S31</f>
        <v>34</v>
      </c>
      <c r="G31" s="64">
        <f>'Le-AD+LD+Dom'!T31</f>
        <v>155</v>
      </c>
      <c r="H31" s="62">
        <f>'Le-AD+LD+Dom'!AA31</f>
        <v>69</v>
      </c>
      <c r="I31" s="65">
        <f>'Le-AD+LD+Dom'!AB31</f>
        <v>318</v>
      </c>
    </row>
    <row r="32" spans="1:9" ht="12.75">
      <c r="A32" s="17">
        <v>1993</v>
      </c>
      <c r="B32" s="62">
        <f>'Le-AD+LD+Dom'!B32</f>
        <v>41</v>
      </c>
      <c r="C32" s="63">
        <f>'Le-AD+LD+Dom'!C32</f>
        <v>196</v>
      </c>
      <c r="D32" s="62">
        <f>'Le-AD+LD+Dom'!J32</f>
        <v>8</v>
      </c>
      <c r="E32" s="64">
        <f>'Le-AD+LD+Dom'!K32</f>
        <v>16</v>
      </c>
      <c r="F32" s="62">
        <f>'Le-AD+LD+Dom'!S32</f>
        <v>33</v>
      </c>
      <c r="G32" s="64">
        <f>'Le-AD+LD+Dom'!T32</f>
        <v>188</v>
      </c>
      <c r="H32" s="62">
        <f>'Le-AD+LD+Dom'!AA32</f>
        <v>82</v>
      </c>
      <c r="I32" s="65">
        <f>'Le-AD+LD+Dom'!AB32</f>
        <v>400</v>
      </c>
    </row>
    <row r="33" spans="1:9" ht="12.75">
      <c r="A33" s="17">
        <v>1994</v>
      </c>
      <c r="B33" s="62">
        <f>'Le-AD+LD+Dom'!B33</f>
        <v>40</v>
      </c>
      <c r="C33" s="63">
        <f>'Le-AD+LD+Dom'!C33</f>
        <v>236</v>
      </c>
      <c r="D33" s="62">
        <f>'Le-AD+LD+Dom'!J33</f>
        <v>6</v>
      </c>
      <c r="E33" s="64">
        <f>'Le-AD+LD+Dom'!K33</f>
        <v>22</v>
      </c>
      <c r="F33" s="62">
        <f>'Le-AD+LD+Dom'!S33</f>
        <v>31</v>
      </c>
      <c r="G33" s="64">
        <f>'Le-AD+LD+Dom'!T33</f>
        <v>219</v>
      </c>
      <c r="H33" s="62">
        <f>'Le-AD+LD+Dom'!AA33</f>
        <v>77</v>
      </c>
      <c r="I33" s="65">
        <f>'Le-AD+LD+Dom'!AB33</f>
        <v>477</v>
      </c>
    </row>
    <row r="34" spans="1:9" ht="12.75">
      <c r="A34" s="17">
        <v>1995</v>
      </c>
      <c r="B34" s="62">
        <f>'Le-AD+LD+Dom'!B34</f>
        <v>25</v>
      </c>
      <c r="C34" s="63">
        <f>'Le-AD+LD+Dom'!C34</f>
        <v>261</v>
      </c>
      <c r="D34" s="62">
        <f>'Le-AD+LD+Dom'!J34</f>
        <v>12</v>
      </c>
      <c r="E34" s="64">
        <f>'Le-AD+LD+Dom'!K34</f>
        <v>34</v>
      </c>
      <c r="F34" s="62">
        <f>'Le-AD+LD+Dom'!S34</f>
        <v>50</v>
      </c>
      <c r="G34" s="64">
        <f>'Le-AD+LD+Dom'!T34</f>
        <v>269</v>
      </c>
      <c r="H34" s="62">
        <f>'Le-AD+LD+Dom'!AA34</f>
        <v>87</v>
      </c>
      <c r="I34" s="65">
        <f>'Le-AD+LD+Dom'!AB34</f>
        <v>564</v>
      </c>
    </row>
    <row r="35" spans="1:9" ht="12.75">
      <c r="A35" s="17">
        <v>1996</v>
      </c>
      <c r="B35" s="62">
        <f>'Le-AD+LD+Dom'!B35</f>
        <v>27</v>
      </c>
      <c r="C35" s="63">
        <f>'Le-AD+LD+Dom'!C35</f>
        <v>288</v>
      </c>
      <c r="D35" s="62">
        <f>'Le-AD+LD+Dom'!J35</f>
        <v>5</v>
      </c>
      <c r="E35" s="64">
        <f>'Le-AD+LD+Dom'!K35</f>
        <v>39</v>
      </c>
      <c r="F35" s="62">
        <f>'Le-AD+LD+Dom'!S35</f>
        <v>43</v>
      </c>
      <c r="G35" s="64">
        <f>'Le-AD+LD+Dom'!T35</f>
        <v>312</v>
      </c>
      <c r="H35" s="62">
        <f>'Le-AD+LD+Dom'!AA35</f>
        <v>75</v>
      </c>
      <c r="I35" s="65">
        <f>'Le-AD+LD+Dom'!AB35</f>
        <v>639</v>
      </c>
    </row>
    <row r="36" spans="1:9" ht="12.75">
      <c r="A36" s="17">
        <v>1997</v>
      </c>
      <c r="B36" s="62">
        <f>'Le-AD+LD+Dom'!B36</f>
        <v>34</v>
      </c>
      <c r="C36" s="63">
        <f>'Le-AD+LD+Dom'!C36</f>
        <v>322</v>
      </c>
      <c r="D36" s="62">
        <f>'Le-AD+LD+Dom'!J36</f>
        <v>10</v>
      </c>
      <c r="E36" s="64">
        <f>'Le-AD+LD+Dom'!K36</f>
        <v>49</v>
      </c>
      <c r="F36" s="62">
        <f>'Le-AD+LD+Dom'!S36</f>
        <v>48</v>
      </c>
      <c r="G36" s="64">
        <f>'Le-AD+LD+Dom'!T36</f>
        <v>360</v>
      </c>
      <c r="H36" s="62">
        <f>'Le-AD+LD+Dom'!AA36</f>
        <v>92</v>
      </c>
      <c r="I36" s="65">
        <f>'Le-AD+LD+Dom'!AB36</f>
        <v>731</v>
      </c>
    </row>
    <row r="37" spans="1:9" ht="12.75">
      <c r="A37" s="17">
        <v>1998</v>
      </c>
      <c r="B37" s="62">
        <f>'Le-AD+LD+Dom'!B37</f>
        <v>45</v>
      </c>
      <c r="C37" s="63">
        <f>'Le-AD+LD+Dom'!C37</f>
        <v>367</v>
      </c>
      <c r="D37" s="62">
        <f>'Le-AD+LD+Dom'!J37</f>
        <v>2</v>
      </c>
      <c r="E37" s="64">
        <f>'Le-AD+LD+Dom'!K37</f>
        <v>51</v>
      </c>
      <c r="F37" s="62">
        <f>'Le-AD+LD+Dom'!S37</f>
        <v>58</v>
      </c>
      <c r="G37" s="64">
        <f>'Le-AD+LD+Dom'!T37</f>
        <v>418</v>
      </c>
      <c r="H37" s="62">
        <f>'Le-AD+LD+Dom'!AA37</f>
        <v>105</v>
      </c>
      <c r="I37" s="65">
        <f>'Le-AD+LD+Dom'!AB37</f>
        <v>836</v>
      </c>
    </row>
    <row r="38" spans="1:9" ht="12.75">
      <c r="A38" s="18">
        <v>1999</v>
      </c>
      <c r="B38" s="66">
        <f>'Le-AD+LD+Dom'!B38</f>
        <v>47</v>
      </c>
      <c r="C38" s="67">
        <f>'Le-AD+LD+Dom'!C38</f>
        <v>414</v>
      </c>
      <c r="D38" s="66"/>
      <c r="E38" s="68">
        <f>'Le-AD+LD+Dom'!K38</f>
        <v>51</v>
      </c>
      <c r="F38" s="66">
        <f>'Le-AD+LD+Dom'!S38</f>
        <v>46</v>
      </c>
      <c r="G38" s="68">
        <f>'Le-AD+LD+Dom'!T38</f>
        <v>464</v>
      </c>
      <c r="H38" s="66">
        <f>'Le-AD+LD+Dom'!AA38</f>
        <v>93</v>
      </c>
      <c r="I38" s="69">
        <f>'Le-AD+LD+Dom'!AB38</f>
        <v>929</v>
      </c>
    </row>
    <row r="39" spans="1:9" s="7" customFormat="1" ht="18.75" customHeight="1">
      <c r="A39" s="17">
        <v>2000</v>
      </c>
      <c r="B39" s="62">
        <f>'Le-AD+LD+Dom'!B39</f>
        <v>58</v>
      </c>
      <c r="C39" s="63">
        <f>'Le-AD+LD+Dom'!C39</f>
        <v>472</v>
      </c>
      <c r="D39" s="62"/>
      <c r="E39" s="64">
        <f>'Le-AD+LD+Dom'!K39</f>
        <v>51</v>
      </c>
      <c r="F39" s="62">
        <f>'Le-AD+LD+Dom'!S39</f>
        <v>48</v>
      </c>
      <c r="G39" s="64">
        <f>'Le-AD+LD+Dom'!T39</f>
        <v>512</v>
      </c>
      <c r="H39" s="62">
        <f>'Le-AD+LD+Dom'!AA39</f>
        <v>106</v>
      </c>
      <c r="I39" s="65">
        <f>'Le-AD+LD+Dom'!AB39</f>
        <v>1035</v>
      </c>
    </row>
    <row r="40" spans="1:9" ht="12.75">
      <c r="A40" s="17">
        <v>2001</v>
      </c>
      <c r="B40" s="62">
        <f>'Le-AD+LD+Dom'!B40</f>
        <v>47</v>
      </c>
      <c r="C40" s="63">
        <f>'Le-AD+LD+Dom'!C40</f>
        <v>519</v>
      </c>
      <c r="D40" s="62">
        <f>'Le-AD+LD+Dom'!J40</f>
        <v>1</v>
      </c>
      <c r="E40" s="64">
        <f>'Le-AD+LD+Dom'!K40</f>
        <v>52</v>
      </c>
      <c r="F40" s="62">
        <f>'Le-AD+LD+Dom'!S40</f>
        <v>54</v>
      </c>
      <c r="G40" s="64">
        <f>'Le-AD+LD+Dom'!T40</f>
        <v>566</v>
      </c>
      <c r="H40" s="62">
        <f>'Le-AD+LD+Dom'!AA40</f>
        <v>102</v>
      </c>
      <c r="I40" s="65">
        <f>'Le-AD+LD+Dom'!AB40</f>
        <v>1137</v>
      </c>
    </row>
    <row r="41" spans="1:9" ht="12.75">
      <c r="A41" s="17">
        <v>2002</v>
      </c>
      <c r="B41" s="62">
        <f>'Le-AD+LD+Dom'!B41</f>
        <v>45</v>
      </c>
      <c r="C41" s="63">
        <f>'Le-AD+LD+Dom'!C41</f>
        <v>564</v>
      </c>
      <c r="D41" s="62">
        <f>'Le-AD+LD+Dom'!J41</f>
        <v>4</v>
      </c>
      <c r="E41" s="64">
        <f>'Le-AD+LD+Dom'!K41</f>
        <v>56</v>
      </c>
      <c r="F41" s="62">
        <f>'Le-AD+LD+Dom'!S41</f>
        <v>53</v>
      </c>
      <c r="G41" s="64">
        <f>'Le-AD+LD+Dom'!T41</f>
        <v>619</v>
      </c>
      <c r="H41" s="62">
        <f>'Le-AD+LD+Dom'!AA41</f>
        <v>102</v>
      </c>
      <c r="I41" s="65">
        <f>'Le-AD+LD+Dom'!AB41</f>
        <v>1239</v>
      </c>
    </row>
    <row r="42" spans="1:9" ht="12.75">
      <c r="A42" s="17">
        <v>2003</v>
      </c>
      <c r="B42" s="62">
        <f>'Le-AD+LD+Dom'!B42</f>
        <v>50</v>
      </c>
      <c r="C42" s="63">
        <f>'Le-AD+LD+Dom'!C42</f>
        <v>614</v>
      </c>
      <c r="D42" s="62">
        <f>'Le-AD+LD+Dom'!J42</f>
        <v>8</v>
      </c>
      <c r="E42" s="64">
        <f>'Le-AD+LD+Dom'!K42</f>
        <v>64</v>
      </c>
      <c r="F42" s="62">
        <f>'Le-AD+LD+Dom'!S42</f>
        <v>69</v>
      </c>
      <c r="G42" s="64">
        <f>'Le-AD+LD+Dom'!T42</f>
        <v>688</v>
      </c>
      <c r="H42" s="62">
        <f>'Le-AD+LD+Dom'!AA42</f>
        <v>127</v>
      </c>
      <c r="I42" s="65">
        <f>'Le-AD+LD+Dom'!AB42</f>
        <v>1366</v>
      </c>
    </row>
    <row r="43" spans="1:9" ht="12.75">
      <c r="A43" s="17">
        <v>2004</v>
      </c>
      <c r="B43" s="62">
        <f>'Le-AD+LD+Dom'!B43</f>
        <v>52</v>
      </c>
      <c r="C43" s="63">
        <f>'Le-AD+LD+Dom'!C43</f>
        <v>666</v>
      </c>
      <c r="D43" s="62">
        <f>'Le-AD+LD+Dom'!J43</f>
        <v>11</v>
      </c>
      <c r="E43" s="64">
        <f>'Le-AD+LD+Dom'!K43</f>
        <v>75</v>
      </c>
      <c r="F43" s="62">
        <f>'Le-AD+LD+Dom'!S43</f>
        <v>70</v>
      </c>
      <c r="G43" s="64">
        <f>'Le-AD+LD+Dom'!T43</f>
        <v>758</v>
      </c>
      <c r="H43" s="62">
        <f>'Le-AD+LD+Dom'!AA43</f>
        <v>133</v>
      </c>
      <c r="I43" s="65">
        <f>'Le-AD+LD+Dom'!AB43</f>
        <v>1499</v>
      </c>
    </row>
    <row r="44" spans="1:9" ht="12.75">
      <c r="A44" s="17">
        <v>2005</v>
      </c>
      <c r="B44" s="62">
        <f>'Le-AD+LD+Dom'!B44</f>
        <v>60</v>
      </c>
      <c r="C44" s="63">
        <f>'Le-AD+LD+Dom'!C44</f>
        <v>726</v>
      </c>
      <c r="D44" s="62">
        <f>'Le-AD+LD+Dom'!J44</f>
        <v>8</v>
      </c>
      <c r="E44" s="64">
        <f>'Le-AD+LD+Dom'!K44</f>
        <v>83</v>
      </c>
      <c r="F44" s="62">
        <f>'Le-AD+LD+Dom'!S44</f>
        <v>67</v>
      </c>
      <c r="G44" s="64">
        <f>'Le-AD+LD+Dom'!T44</f>
        <v>825</v>
      </c>
      <c r="H44" s="62">
        <f>'Le-AD+LD+Dom'!AA44</f>
        <v>135</v>
      </c>
      <c r="I44" s="65">
        <f>'Le-AD+LD+Dom'!AB44</f>
        <v>1634</v>
      </c>
    </row>
    <row r="45" spans="1:9" ht="12.75">
      <c r="A45" s="17">
        <v>2006</v>
      </c>
      <c r="B45" s="62">
        <f>'Le-AD+LD+Dom'!B45</f>
        <v>59</v>
      </c>
      <c r="C45" s="63">
        <f>'Le-AD+LD+Dom'!C45</f>
        <v>785</v>
      </c>
      <c r="D45" s="62">
        <f>'Le-AD+LD+Dom'!J45</f>
        <v>8</v>
      </c>
      <c r="E45" s="64">
        <f>'Le-AD+LD+Dom'!K45</f>
        <v>91</v>
      </c>
      <c r="F45" s="62">
        <f>'Le-AD+LD+Dom'!S45</f>
        <v>60</v>
      </c>
      <c r="G45" s="64">
        <f>'Le-AD+LD+Dom'!T45</f>
        <v>885</v>
      </c>
      <c r="H45" s="62">
        <f>'Le-AD+LD+Dom'!AA45</f>
        <v>127</v>
      </c>
      <c r="I45" s="65">
        <f>'Le-AD+LD+Dom'!AB45</f>
        <v>1761</v>
      </c>
    </row>
    <row r="46" spans="1:9" ht="12.75">
      <c r="A46" s="17">
        <v>2007</v>
      </c>
      <c r="B46" s="62">
        <f>'Le-AD+LD+Dom'!B46</f>
        <v>52</v>
      </c>
      <c r="C46" s="63">
        <f>'Le-AD+LD+Dom'!C46</f>
        <v>837</v>
      </c>
      <c r="D46" s="62">
        <f>'Le-AD+LD+Dom'!J46</f>
        <v>9</v>
      </c>
      <c r="E46" s="64">
        <f>'Le-AD+LD+Dom'!K46</f>
        <v>100</v>
      </c>
      <c r="F46" s="62">
        <f>'Le-AD+LD+Dom'!S46</f>
        <v>75</v>
      </c>
      <c r="G46" s="64">
        <f>'Le-AD+LD+Dom'!T46</f>
        <v>960</v>
      </c>
      <c r="H46" s="62">
        <f>'Le-AD+LD+Dom'!AA46</f>
        <v>136</v>
      </c>
      <c r="I46" s="65">
        <f>'Le-AD+LD+Dom'!AB46</f>
        <v>1897</v>
      </c>
    </row>
    <row r="47" spans="1:9" ht="12.75">
      <c r="A47" s="17">
        <v>2008</v>
      </c>
      <c r="B47" s="62">
        <f>'Le-AD+LD+Dom'!B47</f>
        <v>58</v>
      </c>
      <c r="C47" s="63">
        <f>'Le-AD+LD+Dom'!C47</f>
        <v>895</v>
      </c>
      <c r="D47" s="62">
        <f>'Le-AD+LD+Dom'!J47</f>
        <v>13</v>
      </c>
      <c r="E47" s="64">
        <f>'Le-AD+LD+Dom'!K47</f>
        <v>113</v>
      </c>
      <c r="F47" s="62">
        <f>'Le-AD+LD+Dom'!S47</f>
        <v>76</v>
      </c>
      <c r="G47" s="64">
        <f>'Le-AD+LD+Dom'!T47</f>
        <v>1036</v>
      </c>
      <c r="H47" s="62">
        <f>'Le-AD+LD+Dom'!AA47</f>
        <v>147</v>
      </c>
      <c r="I47" s="65">
        <f>'Le-AD+LD+Dom'!AB47</f>
        <v>2044</v>
      </c>
    </row>
    <row r="48" spans="1:9" ht="12.75">
      <c r="A48" s="17">
        <v>2009</v>
      </c>
      <c r="B48" s="62">
        <f>'Le-AD+LD+Dom'!B48</f>
        <v>46</v>
      </c>
      <c r="C48" s="63">
        <f>'Le-AD+LD+Dom'!C48</f>
        <v>941</v>
      </c>
      <c r="D48" s="62">
        <f>'Le-AD+LD+Dom'!J48</f>
        <v>11</v>
      </c>
      <c r="E48" s="64">
        <f>'Le-AD+LD+Dom'!K48</f>
        <v>124</v>
      </c>
      <c r="F48" s="62">
        <f>'Le-AD+LD+Dom'!S48</f>
        <v>89</v>
      </c>
      <c r="G48" s="64">
        <f>'Le-AD+LD+Dom'!T48</f>
        <v>1125</v>
      </c>
      <c r="H48" s="62">
        <f>'Le-AD+LD+Dom'!AA48</f>
        <v>146</v>
      </c>
      <c r="I48" s="65">
        <f>'Le-AD+LD+Dom'!AB48</f>
        <v>2190</v>
      </c>
    </row>
    <row r="49" spans="1:9" ht="12.75">
      <c r="A49" s="17">
        <v>2010</v>
      </c>
      <c r="B49" s="62">
        <f>'Le-AD+LD+Dom'!B49</f>
        <v>54</v>
      </c>
      <c r="C49" s="63">
        <f>'Le-AD+LD+Dom'!C49</f>
        <v>995</v>
      </c>
      <c r="D49" s="62">
        <f>'Le-AD+LD+Dom'!J49</f>
        <v>3</v>
      </c>
      <c r="E49" s="64">
        <f>'Le-AD+LD+Dom'!K49</f>
        <v>127</v>
      </c>
      <c r="F49" s="62">
        <f>'Le-AD+LD+Dom'!S49</f>
        <v>80</v>
      </c>
      <c r="G49" s="64">
        <f>'Le-AD+LD+Dom'!T49</f>
        <v>1205</v>
      </c>
      <c r="H49" s="62">
        <f>'Le-AD+LD+Dom'!AA49</f>
        <v>137</v>
      </c>
      <c r="I49" s="65">
        <f>'Le-AD+LD+Dom'!AB49</f>
        <v>2327</v>
      </c>
    </row>
    <row r="50" spans="1:9" s="170" customFormat="1" ht="12.75">
      <c r="A50" s="171">
        <v>2011</v>
      </c>
      <c r="B50" s="175">
        <f>'Le-AD+LD+Dom'!B50</f>
        <v>73</v>
      </c>
      <c r="C50" s="141">
        <f>'Le-AD+LD+Dom'!C50</f>
        <v>1068</v>
      </c>
      <c r="D50" s="175">
        <f>'Le-AD+LD+Dom'!J50</f>
        <v>0</v>
      </c>
      <c r="E50" s="64">
        <v>127</v>
      </c>
      <c r="F50" s="175">
        <f>'Le-AD+LD+Dom'!S50</f>
        <v>83</v>
      </c>
      <c r="G50" s="140">
        <f>'Le-AD+LD+Dom'!T50</f>
        <v>1288</v>
      </c>
      <c r="H50" s="175">
        <f>'Le-AD+LD+Dom'!AA50</f>
        <v>156</v>
      </c>
      <c r="I50" s="147">
        <f>'Le-AD+LD+Dom'!AB50</f>
        <v>2356</v>
      </c>
    </row>
    <row r="51" spans="1:9" s="170" customFormat="1" ht="12.75">
      <c r="A51" s="171">
        <v>2012</v>
      </c>
      <c r="B51" s="175">
        <f>'Le-AD+LD+Dom'!B51</f>
        <v>74</v>
      </c>
      <c r="C51" s="141">
        <f>'Le-AD+LD+Dom'!C51</f>
        <v>1142</v>
      </c>
      <c r="D51" s="175">
        <f>'Le-AD+LD+Dom'!J51</f>
        <v>0</v>
      </c>
      <c r="E51" s="148">
        <v>127</v>
      </c>
      <c r="F51" s="175">
        <f>'Le-AD+LD+Dom'!S51</f>
        <v>79</v>
      </c>
      <c r="G51" s="140">
        <f>'Le-AD+LD+Dom'!T51</f>
        <v>1367</v>
      </c>
      <c r="H51" s="175">
        <f>'Le-AD+LD+Dom'!AA51</f>
        <v>153</v>
      </c>
      <c r="I51" s="147">
        <f>'Le-AD+LD+Dom'!AB51</f>
        <v>2509</v>
      </c>
    </row>
    <row r="52" spans="1:9" s="170" customFormat="1" ht="12.75">
      <c r="A52" s="171">
        <v>2013</v>
      </c>
      <c r="B52" s="175">
        <f>'Le-AD+LD+Dom'!B52</f>
        <v>80</v>
      </c>
      <c r="C52" s="141">
        <f>'Le-AD+LD+Dom'!C52</f>
        <v>1222</v>
      </c>
      <c r="D52" s="175">
        <f>'Le-AD+LD+Dom'!J52</f>
        <v>0</v>
      </c>
      <c r="E52" s="148">
        <v>127</v>
      </c>
      <c r="F52" s="175">
        <f>'Le-AD+LD+Dom'!S52</f>
        <v>81</v>
      </c>
      <c r="G52" s="140">
        <f>'Le-AD+LD+Dom'!T52</f>
        <v>1448</v>
      </c>
      <c r="H52" s="175">
        <f>'Le-AD+LD+Dom'!AA52</f>
        <v>161</v>
      </c>
      <c r="I52" s="147">
        <f>'Le-AD+LD+Dom'!AB52</f>
        <v>2670</v>
      </c>
    </row>
    <row r="53" spans="1:9" s="170" customFormat="1" ht="12.75">
      <c r="A53" s="171">
        <v>2014</v>
      </c>
      <c r="B53" s="175">
        <f>'Le-AD+LD+Dom'!B53</f>
        <v>85</v>
      </c>
      <c r="C53" s="141">
        <f>'Le-AD+LD+Dom'!C53</f>
        <v>1307</v>
      </c>
      <c r="D53" s="175">
        <f>'Le-AD+LD+Dom'!J53</f>
        <v>0</v>
      </c>
      <c r="E53" s="148">
        <v>127</v>
      </c>
      <c r="F53" s="175">
        <f>'Le-AD+LD+Dom'!S53</f>
        <v>97</v>
      </c>
      <c r="G53" s="140">
        <f>'Le-AD+LD+Dom'!T53</f>
        <v>1545</v>
      </c>
      <c r="H53" s="175">
        <f>'Le-AD+LD+Dom'!AA53</f>
        <v>182</v>
      </c>
      <c r="I53" s="147">
        <f>'Le-AD+LD+Dom'!AB53</f>
        <v>2852</v>
      </c>
    </row>
    <row r="54" spans="1:9" s="170" customFormat="1" ht="12.75">
      <c r="A54" s="171">
        <v>2015</v>
      </c>
      <c r="B54" s="175">
        <f>'Le-AD+LD+Dom'!B54</f>
        <v>86</v>
      </c>
      <c r="C54" s="141">
        <f>'Le-AD+LD+Dom'!C54</f>
        <v>1393</v>
      </c>
      <c r="D54" s="175">
        <f>'Le-AD+LD+Dom'!J54</f>
        <v>0</v>
      </c>
      <c r="E54" s="148">
        <v>127</v>
      </c>
      <c r="F54" s="175">
        <f>'Le-AD+LD+Dom'!S54</f>
        <v>94</v>
      </c>
      <c r="G54" s="140">
        <f>'Le-AD+LD+Dom'!T54</f>
        <v>1639</v>
      </c>
      <c r="H54" s="175">
        <f>'Le-AD+LD+Dom'!AA54</f>
        <v>180</v>
      </c>
      <c r="I54" s="147">
        <f>'Le-AD+LD+Dom'!AB54</f>
        <v>3032</v>
      </c>
    </row>
    <row r="55" spans="1:9" s="170" customFormat="1" ht="12.75">
      <c r="A55" s="17">
        <v>2016</v>
      </c>
      <c r="B55" s="175">
        <f>'Le-AD+LD+Dom'!B55</f>
        <v>93</v>
      </c>
      <c r="C55" s="141">
        <f>'Le-AD+LD+Dom'!C55</f>
        <v>1486</v>
      </c>
      <c r="D55" s="175">
        <f>'Le-AD+LD+Dom'!J55</f>
        <v>0</v>
      </c>
      <c r="E55" s="148">
        <v>127</v>
      </c>
      <c r="F55" s="175">
        <f>'Le-AD+LD+Dom'!S55</f>
        <v>106</v>
      </c>
      <c r="G55" s="140">
        <f>'Le-AD+LD+Dom'!T55</f>
        <v>1745</v>
      </c>
      <c r="H55" s="175">
        <f>'Le-AD+LD+Dom'!AA55</f>
        <v>199</v>
      </c>
      <c r="I55" s="147">
        <f>'Le-AD+LD+Dom'!AB55</f>
        <v>3231</v>
      </c>
    </row>
    <row r="56" spans="1:9" s="170" customFormat="1" ht="12.75">
      <c r="A56" s="17">
        <v>2017</v>
      </c>
      <c r="B56" s="175">
        <f>'Le-AD+LD+Dom'!B56</f>
        <v>87</v>
      </c>
      <c r="C56" s="141">
        <f>'Le-AD+LD+Dom'!C56</f>
        <v>1573</v>
      </c>
      <c r="D56" s="175">
        <f>'Le-AD+LD+Dom'!J56</f>
        <v>0</v>
      </c>
      <c r="E56" s="148">
        <v>127</v>
      </c>
      <c r="F56" s="177">
        <f>'Le-AD+LD+Dom'!S56</f>
        <v>94</v>
      </c>
      <c r="G56" s="140">
        <f>'Le-AD+LD+Dom'!T56</f>
        <v>1839</v>
      </c>
      <c r="H56" s="175">
        <f>'Le-AD+LD+Dom'!AA56</f>
        <v>181</v>
      </c>
      <c r="I56" s="147">
        <f>'Le-AD+LD+Dom'!AB56</f>
        <v>3412</v>
      </c>
    </row>
    <row r="57" spans="1:9" s="170" customFormat="1" ht="12.75">
      <c r="A57" s="17">
        <v>2018</v>
      </c>
      <c r="B57" s="175">
        <f>'Le-AD+LD+Dom'!B57</f>
        <v>77</v>
      </c>
      <c r="C57" s="141">
        <f>'Le-AD+LD+Dom'!C57</f>
        <v>1650</v>
      </c>
      <c r="D57" s="175">
        <f>'Le-AD+LD+Dom'!J57</f>
        <v>0</v>
      </c>
      <c r="E57" s="148">
        <v>127</v>
      </c>
      <c r="F57" s="177">
        <f>'Le-AD+LD+Dom'!S57</f>
        <v>86</v>
      </c>
      <c r="G57" s="140">
        <f>'Le-AD+LD+Dom'!T57</f>
        <v>1925</v>
      </c>
      <c r="H57" s="175">
        <f>'Le-AD+LD+Dom'!AA57</f>
        <v>163</v>
      </c>
      <c r="I57" s="147">
        <f>'Le-AD+LD+Dom'!AB57</f>
        <v>3575</v>
      </c>
    </row>
    <row r="58" spans="1:9" s="170" customFormat="1" ht="12.75">
      <c r="A58" s="17">
        <v>2019</v>
      </c>
      <c r="B58" s="175">
        <f>'Le-AD+LD+Dom'!B58</f>
        <v>88</v>
      </c>
      <c r="C58" s="141">
        <f>'Le-AD+LD+Dom'!C58</f>
        <v>1738</v>
      </c>
      <c r="D58" s="175">
        <f>'Le-AD+LD+Dom'!J58</f>
        <v>0</v>
      </c>
      <c r="E58" s="148">
        <v>127</v>
      </c>
      <c r="F58" s="177">
        <f>'Le-AD+LD+Dom'!S58</f>
        <v>95</v>
      </c>
      <c r="G58" s="140">
        <f>'Le-AD+LD+Dom'!T58</f>
        <v>2020</v>
      </c>
      <c r="H58" s="175">
        <f>'Le-AD+LD+Dom'!AA58</f>
        <v>183</v>
      </c>
      <c r="I58" s="147">
        <f>'Le-AD+LD+Dom'!AB58</f>
        <v>3758</v>
      </c>
    </row>
    <row r="59" spans="1:9" s="170" customFormat="1" ht="12.75">
      <c r="A59" s="243">
        <v>2020</v>
      </c>
      <c r="B59" s="190">
        <f>'Le-AD+LD+Dom'!B59</f>
        <v>31</v>
      </c>
      <c r="C59" s="165">
        <f>'Le-AD+LD+Dom'!C59</f>
        <v>1769</v>
      </c>
      <c r="D59" s="190">
        <f>'Le-AD+LD+Dom'!J59</f>
        <v>0</v>
      </c>
      <c r="E59" s="256">
        <v>127</v>
      </c>
      <c r="F59" s="197">
        <f>'Le-AD+LD+Dom'!S59</f>
        <v>17</v>
      </c>
      <c r="G59" s="192">
        <f>'Le-AD+LD+Dom'!T59</f>
        <v>2037</v>
      </c>
      <c r="H59" s="190">
        <f>'Le-AD+LD+Dom'!AA59</f>
        <v>48</v>
      </c>
      <c r="I59" s="193">
        <f>'Le-AD+LD+Dom'!AB59</f>
        <v>3806</v>
      </c>
    </row>
    <row r="60" spans="1:9" ht="12.75">
      <c r="A60" s="17"/>
      <c r="B60" s="8"/>
      <c r="C60" s="11"/>
      <c r="D60" s="8"/>
      <c r="E60" s="30"/>
      <c r="F60" s="37"/>
      <c r="G60" s="30"/>
      <c r="H60" s="37"/>
      <c r="I60" s="30"/>
    </row>
    <row r="61" spans="1:9" ht="12.75">
      <c r="A61" s="17"/>
      <c r="B61" s="8"/>
      <c r="C61" s="11"/>
      <c r="D61" s="8"/>
      <c r="E61" s="30"/>
      <c r="F61" s="37"/>
      <c r="G61" s="30"/>
      <c r="H61" s="37"/>
      <c r="I61" s="30"/>
    </row>
    <row r="62" spans="1:9" ht="12.75">
      <c r="A62" s="17"/>
      <c r="B62" s="8"/>
      <c r="C62" s="29"/>
      <c r="D62" s="8"/>
      <c r="E62" s="30"/>
      <c r="F62" s="37"/>
      <c r="G62" s="30"/>
      <c r="H62" s="37"/>
      <c r="I62" s="30"/>
    </row>
    <row r="63" spans="1:9" ht="12.75">
      <c r="A63" s="17"/>
      <c r="B63" s="8"/>
      <c r="C63" s="29"/>
      <c r="D63" s="8"/>
      <c r="E63" s="30"/>
      <c r="F63" s="37"/>
      <c r="G63" s="30"/>
      <c r="H63" s="37"/>
      <c r="I63" s="30"/>
    </row>
    <row r="64" spans="1:9" ht="12.75">
      <c r="A64" s="17"/>
      <c r="B64" s="8"/>
      <c r="C64" s="29"/>
      <c r="D64" s="8"/>
      <c r="E64" s="30"/>
      <c r="F64" s="37"/>
      <c r="G64" s="30"/>
      <c r="H64" s="37"/>
      <c r="I64" s="30"/>
    </row>
    <row r="65" spans="1:9" ht="12.75">
      <c r="A65" s="17"/>
      <c r="B65" s="8"/>
      <c r="C65" s="29"/>
      <c r="D65" s="8"/>
      <c r="E65" s="30"/>
      <c r="F65" s="37"/>
      <c r="G65" s="30"/>
      <c r="H65" s="37"/>
      <c r="I65" s="30"/>
    </row>
    <row r="66" spans="1:9" ht="12.75">
      <c r="A66" s="17"/>
      <c r="B66" s="8"/>
      <c r="C66" s="29"/>
      <c r="D66" s="8"/>
      <c r="E66" s="30"/>
      <c r="F66" s="37"/>
      <c r="G66" s="30"/>
      <c r="H66" s="37"/>
      <c r="I66" s="30"/>
    </row>
    <row r="67" spans="1:9" ht="12.75">
      <c r="A67" s="17"/>
      <c r="B67" s="8"/>
      <c r="C67" s="29"/>
      <c r="D67" s="8"/>
      <c r="E67" s="30"/>
      <c r="F67" s="37"/>
      <c r="G67" s="30"/>
      <c r="H67" s="37"/>
      <c r="I67" s="30"/>
    </row>
    <row r="68" spans="1:9" ht="12.75">
      <c r="A68" s="17"/>
      <c r="B68" s="8"/>
      <c r="C68" s="29"/>
      <c r="D68" s="8"/>
      <c r="E68" s="30"/>
      <c r="F68" s="37"/>
      <c r="G68" s="30"/>
      <c r="H68" s="37"/>
      <c r="I68" s="30"/>
    </row>
    <row r="69" spans="1:9" ht="12.75">
      <c r="A69" s="17"/>
      <c r="B69" s="8"/>
      <c r="C69" s="29"/>
      <c r="D69" s="8"/>
      <c r="E69" s="30"/>
      <c r="F69" s="37"/>
      <c r="G69" s="30"/>
      <c r="H69" s="37"/>
      <c r="I69" s="30"/>
    </row>
    <row r="70" spans="1:9" ht="12.75">
      <c r="A70" s="17"/>
      <c r="B70" s="8"/>
      <c r="C70" s="29"/>
      <c r="D70" s="8"/>
      <c r="E70" s="30"/>
      <c r="F70" s="37"/>
      <c r="G70" s="30"/>
      <c r="H70" s="37"/>
      <c r="I70" s="30"/>
    </row>
    <row r="71" spans="1:9" ht="12.75">
      <c r="A71" s="17"/>
      <c r="B71" s="8"/>
      <c r="C71" s="29"/>
      <c r="D71" s="8"/>
      <c r="E71" s="30"/>
      <c r="F71" s="37"/>
      <c r="G71" s="30"/>
      <c r="H71" s="37"/>
      <c r="I71" s="30"/>
    </row>
    <row r="72" spans="1:9" ht="12.75">
      <c r="A72" s="18"/>
      <c r="B72" s="42"/>
      <c r="C72" s="32"/>
      <c r="D72" s="42"/>
      <c r="E72" s="33"/>
      <c r="F72" s="38"/>
      <c r="G72" s="33"/>
      <c r="H72" s="38"/>
      <c r="I72" s="33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4">
    <mergeCell ref="B1:C1"/>
    <mergeCell ref="H1:I1"/>
    <mergeCell ref="D1:E1"/>
    <mergeCell ref="F1:G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BT339"/>
  <sheetViews>
    <sheetView showGridLines="0" showZeros="0" zoomScale="95" zoomScaleNormal="95" zoomScalePageLayoutView="0" workbookViewId="0" topLeftCell="A1">
      <pane xSplit="1" ySplit="2" topLeftCell="M40" activePane="bottomRight" state="frozen"/>
      <selection pane="topLeft" activeCell="B61" sqref="B61"/>
      <selection pane="topRight" activeCell="B61" sqref="B61"/>
      <selection pane="bottomLeft" activeCell="B61" sqref="B61"/>
      <selection pane="bottomRight" activeCell="V45" sqref="V45"/>
    </sheetView>
  </sheetViews>
  <sheetFormatPr defaultColWidth="9.140625" defaultRowHeight="12.75"/>
  <cols>
    <col min="1" max="1" width="6.28125" style="1" customWidth="1"/>
    <col min="2" max="5" width="6.28125" style="0" customWidth="1"/>
    <col min="6" max="6" width="8.00390625" style="0" customWidth="1"/>
    <col min="7" max="8" width="6.28125" style="0" customWidth="1"/>
    <col min="9" max="9" width="8.00390625" style="0" customWidth="1"/>
    <col min="10" max="13" width="6.28125" style="0" customWidth="1"/>
    <col min="14" max="14" width="8.00390625" style="0" customWidth="1"/>
    <col min="15" max="16" width="6.28125" style="0" customWidth="1"/>
    <col min="17" max="17" width="8.00390625" style="0" customWidth="1"/>
    <col min="18" max="18" width="0.42578125" style="0" customWidth="1"/>
    <col min="19" max="22" width="6.28125" style="49" customWidth="1"/>
    <col min="23" max="23" width="8.00390625" style="0" customWidth="1"/>
    <col min="24" max="25" width="6.28125" style="49" customWidth="1"/>
    <col min="26" max="26" width="8.00390625" style="0" customWidth="1"/>
    <col min="27" max="27" width="6.28125" style="49" customWidth="1"/>
    <col min="28" max="28" width="7.28125" style="53" bestFit="1" customWidth="1"/>
    <col min="29" max="30" width="6.28125" style="49" customWidth="1"/>
    <col min="31" max="31" width="8.00390625" style="0" customWidth="1"/>
    <col min="32" max="33" width="6.28125" style="49" customWidth="1"/>
    <col min="34" max="34" width="8.00390625" style="0" customWidth="1"/>
  </cols>
  <sheetData>
    <row r="1" spans="1:34" s="6" customFormat="1" ht="20.25" customHeight="1">
      <c r="A1" s="16"/>
      <c r="B1" s="389" t="s">
        <v>4</v>
      </c>
      <c r="C1" s="384"/>
      <c r="D1" s="384"/>
      <c r="E1" s="384"/>
      <c r="F1" s="384"/>
      <c r="G1" s="384"/>
      <c r="H1" s="384"/>
      <c r="I1" s="386"/>
      <c r="J1" s="383" t="s">
        <v>5</v>
      </c>
      <c r="K1" s="384"/>
      <c r="L1" s="384"/>
      <c r="M1" s="384"/>
      <c r="N1" s="384"/>
      <c r="O1" s="384"/>
      <c r="P1" s="384"/>
      <c r="Q1" s="386"/>
      <c r="R1" s="39"/>
      <c r="S1" s="383" t="s">
        <v>6</v>
      </c>
      <c r="T1" s="384"/>
      <c r="U1" s="384"/>
      <c r="V1" s="384"/>
      <c r="W1" s="384"/>
      <c r="X1" s="384"/>
      <c r="Y1" s="384"/>
      <c r="Z1" s="386"/>
      <c r="AA1" s="383" t="s">
        <v>8</v>
      </c>
      <c r="AB1" s="384"/>
      <c r="AC1" s="384"/>
      <c r="AD1" s="384"/>
      <c r="AE1" s="384"/>
      <c r="AF1" s="384"/>
      <c r="AG1" s="384"/>
      <c r="AH1" s="385"/>
    </row>
    <row r="2" spans="1:34" s="2" customFormat="1" ht="25.5" customHeight="1" thickBot="1">
      <c r="A2" s="5" t="s">
        <v>9</v>
      </c>
      <c r="B2" s="3" t="s">
        <v>0</v>
      </c>
      <c r="C2" s="4" t="s">
        <v>1</v>
      </c>
      <c r="D2" s="5" t="s">
        <v>37</v>
      </c>
      <c r="E2" s="5" t="s">
        <v>2</v>
      </c>
      <c r="F2" s="5" t="s">
        <v>10</v>
      </c>
      <c r="G2" s="5" t="s">
        <v>38</v>
      </c>
      <c r="H2" s="4" t="s">
        <v>3</v>
      </c>
      <c r="I2" s="43" t="s">
        <v>11</v>
      </c>
      <c r="J2" s="3" t="s">
        <v>0</v>
      </c>
      <c r="K2" s="4" t="s">
        <v>1</v>
      </c>
      <c r="L2" s="5" t="s">
        <v>37</v>
      </c>
      <c r="M2" s="5" t="s">
        <v>2</v>
      </c>
      <c r="N2" s="5" t="s">
        <v>10</v>
      </c>
      <c r="O2" s="5" t="s">
        <v>38</v>
      </c>
      <c r="P2" s="4" t="s">
        <v>3</v>
      </c>
      <c r="Q2" s="43" t="s">
        <v>11</v>
      </c>
      <c r="R2" s="24"/>
      <c r="S2" s="46" t="s">
        <v>0</v>
      </c>
      <c r="T2" s="47" t="s">
        <v>1</v>
      </c>
      <c r="U2" s="48" t="s">
        <v>37</v>
      </c>
      <c r="V2" s="48" t="s">
        <v>2</v>
      </c>
      <c r="W2" s="5" t="s">
        <v>10</v>
      </c>
      <c r="X2" s="48" t="s">
        <v>38</v>
      </c>
      <c r="Y2" s="48" t="s">
        <v>3</v>
      </c>
      <c r="Z2" s="45" t="s">
        <v>11</v>
      </c>
      <c r="AA2" s="46" t="s">
        <v>0</v>
      </c>
      <c r="AB2" s="4" t="s">
        <v>1</v>
      </c>
      <c r="AC2" s="48" t="s">
        <v>37</v>
      </c>
      <c r="AD2" s="48" t="s">
        <v>2</v>
      </c>
      <c r="AE2" s="5" t="s">
        <v>10</v>
      </c>
      <c r="AF2" s="48" t="s">
        <v>38</v>
      </c>
      <c r="AG2" s="47" t="s">
        <v>3</v>
      </c>
      <c r="AH2" s="4" t="s">
        <v>11</v>
      </c>
    </row>
    <row r="3" spans="1:72" ht="17.25" customHeight="1" thickTop="1">
      <c r="A3" s="17">
        <v>1964</v>
      </c>
      <c r="B3" s="8"/>
      <c r="C3" s="9"/>
      <c r="D3" s="9"/>
      <c r="E3" s="9"/>
      <c r="F3" s="9"/>
      <c r="G3" s="9"/>
      <c r="H3" s="9"/>
      <c r="I3" s="44"/>
      <c r="J3" s="8"/>
      <c r="K3" s="9"/>
      <c r="L3" s="9"/>
      <c r="M3" s="9"/>
      <c r="N3" s="9"/>
      <c r="O3" s="9"/>
      <c r="P3" s="9"/>
      <c r="Q3" s="44"/>
      <c r="R3" s="25"/>
      <c r="S3" s="8"/>
      <c r="T3" s="9"/>
      <c r="U3" s="9"/>
      <c r="V3" s="9"/>
      <c r="W3" s="9"/>
      <c r="X3" s="9"/>
      <c r="Y3" s="19"/>
      <c r="Z3" s="40"/>
      <c r="AA3" s="8"/>
      <c r="AB3" s="9"/>
      <c r="AC3" s="9"/>
      <c r="AD3" s="9"/>
      <c r="AE3" s="9"/>
      <c r="AF3" s="9"/>
      <c r="AG3" s="9"/>
      <c r="AH3" s="9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</row>
    <row r="4" spans="1:72" ht="12.75">
      <c r="A4" s="17">
        <v>1965</v>
      </c>
      <c r="B4" s="8"/>
      <c r="C4" s="10"/>
      <c r="D4" s="11"/>
      <c r="E4" s="11"/>
      <c r="F4" s="11"/>
      <c r="G4" s="11"/>
      <c r="H4" s="11"/>
      <c r="I4" s="44"/>
      <c r="J4" s="8"/>
      <c r="K4" s="10"/>
      <c r="L4" s="11"/>
      <c r="M4" s="11"/>
      <c r="N4" s="11"/>
      <c r="O4" s="11"/>
      <c r="P4" s="11"/>
      <c r="Q4" s="44"/>
      <c r="R4" s="25"/>
      <c r="S4" s="8"/>
      <c r="T4" s="10"/>
      <c r="U4" s="11"/>
      <c r="V4" s="11"/>
      <c r="W4" s="11"/>
      <c r="X4" s="11"/>
      <c r="Y4" s="10"/>
      <c r="Z4" s="40"/>
      <c r="AA4" s="8"/>
      <c r="AB4" s="10"/>
      <c r="AC4" s="11"/>
      <c r="AD4" s="11"/>
      <c r="AE4" s="11"/>
      <c r="AF4" s="11"/>
      <c r="AG4" s="11"/>
      <c r="AH4" s="11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</row>
    <row r="5" spans="1:72" ht="12.75">
      <c r="A5" s="17">
        <v>1966</v>
      </c>
      <c r="B5" s="62"/>
      <c r="C5" s="64"/>
      <c r="D5" s="65"/>
      <c r="E5" s="65"/>
      <c r="F5" s="65"/>
      <c r="G5" s="65"/>
      <c r="H5" s="65"/>
      <c r="I5" s="93"/>
      <c r="J5" s="62"/>
      <c r="K5" s="64"/>
      <c r="L5" s="65"/>
      <c r="M5" s="65"/>
      <c r="N5" s="65"/>
      <c r="O5" s="65"/>
      <c r="P5" s="65"/>
      <c r="Q5" s="93"/>
      <c r="R5" s="79"/>
      <c r="S5" s="62"/>
      <c r="T5" s="64"/>
      <c r="U5" s="65"/>
      <c r="V5" s="65"/>
      <c r="W5" s="65"/>
      <c r="X5" s="65"/>
      <c r="Y5" s="64"/>
      <c r="Z5" s="63"/>
      <c r="AA5" s="62"/>
      <c r="AB5" s="64"/>
      <c r="AC5" s="65"/>
      <c r="AD5" s="65"/>
      <c r="AE5" s="65"/>
      <c r="AF5" s="65"/>
      <c r="AG5" s="65"/>
      <c r="AH5" s="65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</row>
    <row r="6" spans="1:72" ht="12.75">
      <c r="A6" s="17">
        <v>1967</v>
      </c>
      <c r="B6" s="62"/>
      <c r="C6" s="64"/>
      <c r="D6" s="65"/>
      <c r="E6" s="65"/>
      <c r="F6" s="65"/>
      <c r="G6" s="65"/>
      <c r="H6" s="65"/>
      <c r="I6" s="93"/>
      <c r="J6" s="62"/>
      <c r="K6" s="64"/>
      <c r="L6" s="65"/>
      <c r="M6" s="65"/>
      <c r="N6" s="65"/>
      <c r="O6" s="65"/>
      <c r="P6" s="65"/>
      <c r="Q6" s="93"/>
      <c r="R6" s="79"/>
      <c r="S6" s="62"/>
      <c r="T6" s="64"/>
      <c r="U6" s="65"/>
      <c r="V6" s="65"/>
      <c r="W6" s="65"/>
      <c r="X6" s="65"/>
      <c r="Y6" s="64"/>
      <c r="Z6" s="63"/>
      <c r="AA6" s="62"/>
      <c r="AB6" s="64"/>
      <c r="AC6" s="65"/>
      <c r="AD6" s="65"/>
      <c r="AE6" s="65"/>
      <c r="AF6" s="65"/>
      <c r="AG6" s="65"/>
      <c r="AH6" s="65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</row>
    <row r="7" spans="1:72" ht="12.75">
      <c r="A7" s="17">
        <v>1968</v>
      </c>
      <c r="B7" s="62"/>
      <c r="C7" s="64"/>
      <c r="D7" s="65"/>
      <c r="E7" s="65"/>
      <c r="F7" s="65"/>
      <c r="G7" s="65"/>
      <c r="H7" s="65"/>
      <c r="I7" s="93"/>
      <c r="J7" s="62"/>
      <c r="K7" s="64"/>
      <c r="L7" s="65"/>
      <c r="M7" s="65"/>
      <c r="N7" s="65"/>
      <c r="O7" s="65"/>
      <c r="P7" s="65"/>
      <c r="Q7" s="93"/>
      <c r="R7" s="79"/>
      <c r="S7" s="62"/>
      <c r="T7" s="64"/>
      <c r="U7" s="65"/>
      <c r="V7" s="65"/>
      <c r="W7" s="65"/>
      <c r="X7" s="65"/>
      <c r="Y7" s="64"/>
      <c r="Z7" s="63"/>
      <c r="AA7" s="62"/>
      <c r="AB7" s="64"/>
      <c r="AC7" s="65"/>
      <c r="AD7" s="65"/>
      <c r="AE7" s="65"/>
      <c r="AF7" s="65"/>
      <c r="AG7" s="65"/>
      <c r="AH7" s="65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</row>
    <row r="8" spans="1:72" ht="12.75">
      <c r="A8" s="17">
        <v>1969</v>
      </c>
      <c r="B8" s="62"/>
      <c r="C8" s="64"/>
      <c r="D8" s="65"/>
      <c r="E8" s="65"/>
      <c r="F8" s="65"/>
      <c r="G8" s="65"/>
      <c r="H8" s="65"/>
      <c r="I8" s="93"/>
      <c r="J8" s="62"/>
      <c r="K8" s="64"/>
      <c r="L8" s="65"/>
      <c r="M8" s="65"/>
      <c r="N8" s="65"/>
      <c r="O8" s="65"/>
      <c r="P8" s="65"/>
      <c r="Q8" s="93"/>
      <c r="R8" s="79"/>
      <c r="S8" s="62"/>
      <c r="T8" s="64"/>
      <c r="U8" s="65"/>
      <c r="V8" s="65"/>
      <c r="W8" s="65"/>
      <c r="X8" s="65"/>
      <c r="Y8" s="64"/>
      <c r="Z8" s="63"/>
      <c r="AA8" s="62"/>
      <c r="AB8" s="64"/>
      <c r="AC8" s="65"/>
      <c r="AD8" s="65"/>
      <c r="AE8" s="65"/>
      <c r="AF8" s="65"/>
      <c r="AG8" s="65"/>
      <c r="AH8" s="65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</row>
    <row r="9" spans="1:72" ht="12.75">
      <c r="A9" s="17">
        <v>1970</v>
      </c>
      <c r="B9" s="62"/>
      <c r="C9" s="64"/>
      <c r="D9" s="65"/>
      <c r="E9" s="65"/>
      <c r="F9" s="65"/>
      <c r="G9" s="65"/>
      <c r="H9" s="65"/>
      <c r="I9" s="93"/>
      <c r="J9" s="62"/>
      <c r="K9" s="64"/>
      <c r="L9" s="65"/>
      <c r="M9" s="65"/>
      <c r="N9" s="65"/>
      <c r="O9" s="65"/>
      <c r="P9" s="65"/>
      <c r="Q9" s="93"/>
      <c r="R9" s="79"/>
      <c r="S9" s="62"/>
      <c r="T9" s="64"/>
      <c r="U9" s="65"/>
      <c r="V9" s="65"/>
      <c r="W9" s="65"/>
      <c r="X9" s="65"/>
      <c r="Y9" s="64"/>
      <c r="Z9" s="63"/>
      <c r="AA9" s="62"/>
      <c r="AB9" s="64"/>
      <c r="AC9" s="65"/>
      <c r="AD9" s="65"/>
      <c r="AE9" s="65"/>
      <c r="AF9" s="65"/>
      <c r="AG9" s="65"/>
      <c r="AH9" s="65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</row>
    <row r="10" spans="1:72" ht="12.75">
      <c r="A10" s="17">
        <v>1971</v>
      </c>
      <c r="B10" s="62"/>
      <c r="C10" s="64"/>
      <c r="D10" s="65"/>
      <c r="E10" s="65"/>
      <c r="F10" s="65"/>
      <c r="G10" s="65"/>
      <c r="H10" s="65"/>
      <c r="I10" s="93"/>
      <c r="J10" s="62"/>
      <c r="K10" s="64"/>
      <c r="L10" s="65"/>
      <c r="M10" s="65"/>
      <c r="N10" s="65"/>
      <c r="O10" s="65"/>
      <c r="P10" s="65"/>
      <c r="Q10" s="93"/>
      <c r="R10" s="79"/>
      <c r="S10" s="62"/>
      <c r="T10" s="64"/>
      <c r="U10" s="65"/>
      <c r="V10" s="65"/>
      <c r="W10" s="65"/>
      <c r="X10" s="65"/>
      <c r="Y10" s="64"/>
      <c r="Z10" s="63"/>
      <c r="AA10" s="62"/>
      <c r="AB10" s="64"/>
      <c r="AC10" s="65"/>
      <c r="AD10" s="65"/>
      <c r="AE10" s="65"/>
      <c r="AF10" s="65"/>
      <c r="AG10" s="65"/>
      <c r="AH10" s="65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</row>
    <row r="11" spans="1:72" ht="12.75">
      <c r="A11" s="17">
        <v>1972</v>
      </c>
      <c r="B11" s="62"/>
      <c r="C11" s="64"/>
      <c r="D11" s="65"/>
      <c r="E11" s="65"/>
      <c r="F11" s="65"/>
      <c r="G11" s="65"/>
      <c r="H11" s="65"/>
      <c r="I11" s="93"/>
      <c r="J11" s="62"/>
      <c r="K11" s="64"/>
      <c r="L11" s="65"/>
      <c r="M11" s="65"/>
      <c r="N11" s="65"/>
      <c r="O11" s="65"/>
      <c r="P11" s="65"/>
      <c r="Q11" s="93"/>
      <c r="R11" s="79"/>
      <c r="S11" s="62"/>
      <c r="T11" s="64"/>
      <c r="U11" s="65"/>
      <c r="V11" s="65"/>
      <c r="W11" s="65"/>
      <c r="X11" s="65"/>
      <c r="Y11" s="64"/>
      <c r="Z11" s="63"/>
      <c r="AA11" s="62"/>
      <c r="AB11" s="64"/>
      <c r="AC11" s="65"/>
      <c r="AD11" s="65"/>
      <c r="AE11" s="65"/>
      <c r="AF11" s="65"/>
      <c r="AG11" s="65"/>
      <c r="AH11" s="65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</row>
    <row r="12" spans="1:72" ht="12.75">
      <c r="A12" s="17">
        <v>1973</v>
      </c>
      <c r="B12" s="62"/>
      <c r="C12" s="64"/>
      <c r="D12" s="65"/>
      <c r="E12" s="65"/>
      <c r="F12" s="65"/>
      <c r="G12" s="65"/>
      <c r="H12" s="65"/>
      <c r="I12" s="93"/>
      <c r="J12" s="62"/>
      <c r="K12" s="64"/>
      <c r="L12" s="65"/>
      <c r="M12" s="65"/>
      <c r="N12" s="65"/>
      <c r="O12" s="65"/>
      <c r="P12" s="65"/>
      <c r="Q12" s="93"/>
      <c r="R12" s="79"/>
      <c r="S12" s="62"/>
      <c r="T12" s="64"/>
      <c r="U12" s="65"/>
      <c r="V12" s="65"/>
      <c r="W12" s="65"/>
      <c r="X12" s="65"/>
      <c r="Y12" s="64"/>
      <c r="Z12" s="63"/>
      <c r="AA12" s="62"/>
      <c r="AB12" s="64"/>
      <c r="AC12" s="65"/>
      <c r="AD12" s="65"/>
      <c r="AE12" s="65"/>
      <c r="AF12" s="65"/>
      <c r="AG12" s="65"/>
      <c r="AH12" s="65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</row>
    <row r="13" spans="1:72" ht="12.75">
      <c r="A13" s="17">
        <v>1974</v>
      </c>
      <c r="B13" s="62"/>
      <c r="C13" s="64"/>
      <c r="D13" s="65"/>
      <c r="E13" s="65"/>
      <c r="F13" s="65"/>
      <c r="G13" s="65"/>
      <c r="H13" s="65"/>
      <c r="I13" s="93"/>
      <c r="J13" s="62"/>
      <c r="K13" s="64"/>
      <c r="L13" s="65"/>
      <c r="M13" s="65"/>
      <c r="N13" s="65"/>
      <c r="O13" s="65"/>
      <c r="P13" s="65"/>
      <c r="Q13" s="93"/>
      <c r="R13" s="79"/>
      <c r="S13" s="62"/>
      <c r="T13" s="64"/>
      <c r="U13" s="65"/>
      <c r="V13" s="65"/>
      <c r="W13" s="65"/>
      <c r="X13" s="65"/>
      <c r="Y13" s="64"/>
      <c r="Z13" s="63"/>
      <c r="AA13" s="62"/>
      <c r="AB13" s="64"/>
      <c r="AC13" s="65"/>
      <c r="AD13" s="65"/>
      <c r="AE13" s="65"/>
      <c r="AF13" s="65"/>
      <c r="AG13" s="65"/>
      <c r="AH13" s="65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</row>
    <row r="14" spans="1:72" ht="12.75">
      <c r="A14" s="17">
        <v>1975</v>
      </c>
      <c r="B14" s="62"/>
      <c r="C14" s="64"/>
      <c r="D14" s="65"/>
      <c r="E14" s="65"/>
      <c r="F14" s="65"/>
      <c r="G14" s="65"/>
      <c r="H14" s="65"/>
      <c r="I14" s="93"/>
      <c r="J14" s="62"/>
      <c r="K14" s="64"/>
      <c r="L14" s="65"/>
      <c r="M14" s="65"/>
      <c r="N14" s="65"/>
      <c r="O14" s="65"/>
      <c r="P14" s="65"/>
      <c r="Q14" s="93"/>
      <c r="R14" s="79"/>
      <c r="S14" s="62"/>
      <c r="T14" s="64"/>
      <c r="U14" s="65"/>
      <c r="V14" s="65"/>
      <c r="W14" s="65"/>
      <c r="X14" s="65"/>
      <c r="Y14" s="64"/>
      <c r="Z14" s="63"/>
      <c r="AA14" s="62"/>
      <c r="AB14" s="64"/>
      <c r="AC14" s="65"/>
      <c r="AD14" s="65"/>
      <c r="AE14" s="65"/>
      <c r="AF14" s="65"/>
      <c r="AG14" s="65"/>
      <c r="AH14" s="65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</row>
    <row r="15" spans="1:72" ht="12.75">
      <c r="A15" s="17">
        <v>1976</v>
      </c>
      <c r="B15" s="62"/>
      <c r="C15" s="64"/>
      <c r="D15" s="65"/>
      <c r="E15" s="65"/>
      <c r="F15" s="65"/>
      <c r="G15" s="65"/>
      <c r="H15" s="65"/>
      <c r="I15" s="93"/>
      <c r="J15" s="62"/>
      <c r="K15" s="64"/>
      <c r="L15" s="65"/>
      <c r="M15" s="65"/>
      <c r="N15" s="65"/>
      <c r="O15" s="65"/>
      <c r="P15" s="65"/>
      <c r="Q15" s="93"/>
      <c r="R15" s="79"/>
      <c r="S15" s="62"/>
      <c r="T15" s="64"/>
      <c r="U15" s="65"/>
      <c r="V15" s="65"/>
      <c r="W15" s="65"/>
      <c r="X15" s="65"/>
      <c r="Y15" s="64"/>
      <c r="Z15" s="63"/>
      <c r="AA15" s="62"/>
      <c r="AB15" s="64"/>
      <c r="AC15" s="65"/>
      <c r="AD15" s="65"/>
      <c r="AE15" s="65"/>
      <c r="AF15" s="65"/>
      <c r="AG15" s="65"/>
      <c r="AH15" s="65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</row>
    <row r="16" spans="1:72" ht="12.75">
      <c r="A16" s="17">
        <v>1977</v>
      </c>
      <c r="B16" s="62"/>
      <c r="C16" s="64"/>
      <c r="D16" s="65"/>
      <c r="E16" s="65"/>
      <c r="F16" s="65"/>
      <c r="G16" s="65"/>
      <c r="H16" s="65"/>
      <c r="I16" s="93"/>
      <c r="J16" s="62"/>
      <c r="K16" s="64"/>
      <c r="L16" s="65"/>
      <c r="M16" s="65"/>
      <c r="N16" s="65"/>
      <c r="O16" s="65"/>
      <c r="P16" s="65"/>
      <c r="Q16" s="93"/>
      <c r="R16" s="79"/>
      <c r="S16" s="62"/>
      <c r="T16" s="64"/>
      <c r="U16" s="65"/>
      <c r="V16" s="65"/>
      <c r="W16" s="65"/>
      <c r="X16" s="65"/>
      <c r="Y16" s="64"/>
      <c r="Z16" s="63"/>
      <c r="AA16" s="62"/>
      <c r="AB16" s="64"/>
      <c r="AC16" s="65"/>
      <c r="AD16" s="65"/>
      <c r="AE16" s="65"/>
      <c r="AF16" s="65"/>
      <c r="AG16" s="65"/>
      <c r="AH16" s="65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</row>
    <row r="17" spans="1:72" ht="12.75">
      <c r="A17" s="17">
        <v>1978</v>
      </c>
      <c r="B17" s="62"/>
      <c r="C17" s="64"/>
      <c r="D17" s="65"/>
      <c r="E17" s="65"/>
      <c r="F17" s="65"/>
      <c r="G17" s="65"/>
      <c r="H17" s="65"/>
      <c r="I17" s="93"/>
      <c r="J17" s="62"/>
      <c r="K17" s="64"/>
      <c r="L17" s="65"/>
      <c r="M17" s="65"/>
      <c r="N17" s="65"/>
      <c r="O17" s="65"/>
      <c r="P17" s="65"/>
      <c r="Q17" s="93"/>
      <c r="R17" s="79"/>
      <c r="S17" s="62"/>
      <c r="T17" s="64"/>
      <c r="U17" s="65"/>
      <c r="V17" s="65"/>
      <c r="W17" s="65"/>
      <c r="X17" s="65"/>
      <c r="Y17" s="64"/>
      <c r="Z17" s="63"/>
      <c r="AA17" s="62"/>
      <c r="AB17" s="64"/>
      <c r="AC17" s="65"/>
      <c r="AD17" s="65"/>
      <c r="AE17" s="65"/>
      <c r="AF17" s="65"/>
      <c r="AG17" s="65"/>
      <c r="AH17" s="65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</row>
    <row r="18" spans="1:72" ht="12.75">
      <c r="A18" s="17">
        <v>1979</v>
      </c>
      <c r="B18" s="62"/>
      <c r="C18" s="64"/>
      <c r="D18" s="65"/>
      <c r="E18" s="65"/>
      <c r="F18" s="65"/>
      <c r="G18" s="65"/>
      <c r="H18" s="65"/>
      <c r="I18" s="93"/>
      <c r="J18" s="62"/>
      <c r="K18" s="64"/>
      <c r="L18" s="65"/>
      <c r="M18" s="65"/>
      <c r="N18" s="65"/>
      <c r="O18" s="65"/>
      <c r="P18" s="65"/>
      <c r="Q18" s="93"/>
      <c r="R18" s="79"/>
      <c r="S18" s="62"/>
      <c r="T18" s="64"/>
      <c r="U18" s="65"/>
      <c r="V18" s="65"/>
      <c r="W18" s="65"/>
      <c r="X18" s="65"/>
      <c r="Y18" s="64"/>
      <c r="Z18" s="63"/>
      <c r="AA18" s="62"/>
      <c r="AB18" s="64"/>
      <c r="AC18" s="65"/>
      <c r="AD18" s="65"/>
      <c r="AE18" s="65"/>
      <c r="AF18" s="65"/>
      <c r="AG18" s="65"/>
      <c r="AH18" s="65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</row>
    <row r="19" spans="1:72" ht="12.75">
      <c r="A19" s="17">
        <v>1980</v>
      </c>
      <c r="B19" s="62"/>
      <c r="C19" s="64"/>
      <c r="D19" s="65"/>
      <c r="E19" s="65"/>
      <c r="F19" s="65"/>
      <c r="G19" s="65"/>
      <c r="H19" s="65"/>
      <c r="I19" s="93"/>
      <c r="J19" s="62"/>
      <c r="K19" s="64"/>
      <c r="L19" s="65"/>
      <c r="M19" s="65"/>
      <c r="N19" s="65"/>
      <c r="O19" s="65"/>
      <c r="P19" s="65"/>
      <c r="Q19" s="93"/>
      <c r="R19" s="79"/>
      <c r="S19" s="62"/>
      <c r="T19" s="64"/>
      <c r="U19" s="65"/>
      <c r="V19" s="65"/>
      <c r="W19" s="65"/>
      <c r="X19" s="65"/>
      <c r="Y19" s="64"/>
      <c r="Z19" s="63"/>
      <c r="AA19" s="62"/>
      <c r="AB19" s="64"/>
      <c r="AC19" s="65"/>
      <c r="AD19" s="65"/>
      <c r="AE19" s="65"/>
      <c r="AF19" s="65"/>
      <c r="AG19" s="65"/>
      <c r="AH19" s="65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</row>
    <row r="20" spans="1:72" ht="12.75">
      <c r="A20" s="17">
        <v>1981</v>
      </c>
      <c r="B20" s="62"/>
      <c r="C20" s="64"/>
      <c r="D20" s="65"/>
      <c r="E20" s="65"/>
      <c r="F20" s="65"/>
      <c r="G20" s="65"/>
      <c r="H20" s="65"/>
      <c r="I20" s="93"/>
      <c r="J20" s="62"/>
      <c r="K20" s="64"/>
      <c r="L20" s="65"/>
      <c r="M20" s="65"/>
      <c r="N20" s="65"/>
      <c r="O20" s="65"/>
      <c r="P20" s="65"/>
      <c r="Q20" s="93"/>
      <c r="R20" s="79"/>
      <c r="S20" s="62"/>
      <c r="T20" s="64"/>
      <c r="U20" s="65"/>
      <c r="V20" s="65"/>
      <c r="W20" s="65"/>
      <c r="X20" s="65"/>
      <c r="Y20" s="64"/>
      <c r="Z20" s="63"/>
      <c r="AA20" s="62"/>
      <c r="AB20" s="64"/>
      <c r="AC20" s="65"/>
      <c r="AD20" s="65"/>
      <c r="AE20" s="65"/>
      <c r="AF20" s="65"/>
      <c r="AG20" s="65"/>
      <c r="AH20" s="65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</row>
    <row r="21" spans="1:72" ht="12.75">
      <c r="A21" s="17">
        <v>1982</v>
      </c>
      <c r="B21" s="62"/>
      <c r="C21" s="64"/>
      <c r="D21" s="65"/>
      <c r="E21" s="65"/>
      <c r="F21" s="65"/>
      <c r="G21" s="65"/>
      <c r="H21" s="65"/>
      <c r="I21" s="93"/>
      <c r="J21" s="62"/>
      <c r="K21" s="64"/>
      <c r="L21" s="65"/>
      <c r="M21" s="65"/>
      <c r="N21" s="65"/>
      <c r="O21" s="65"/>
      <c r="P21" s="65"/>
      <c r="Q21" s="93"/>
      <c r="R21" s="79"/>
      <c r="S21" s="62"/>
      <c r="T21" s="64"/>
      <c r="U21" s="65"/>
      <c r="V21" s="65"/>
      <c r="W21" s="65"/>
      <c r="X21" s="65"/>
      <c r="Y21" s="64"/>
      <c r="Z21" s="63"/>
      <c r="AA21" s="62"/>
      <c r="AB21" s="64"/>
      <c r="AC21" s="65"/>
      <c r="AD21" s="65"/>
      <c r="AE21" s="65"/>
      <c r="AF21" s="65"/>
      <c r="AG21" s="65"/>
      <c r="AH21" s="65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</row>
    <row r="22" spans="1:72" ht="12.75">
      <c r="A22" s="17">
        <v>1983</v>
      </c>
      <c r="B22" s="62"/>
      <c r="C22" s="64"/>
      <c r="D22" s="65"/>
      <c r="E22" s="65"/>
      <c r="F22" s="65"/>
      <c r="G22" s="65"/>
      <c r="H22" s="65"/>
      <c r="I22" s="93"/>
      <c r="J22" s="62"/>
      <c r="K22" s="64"/>
      <c r="L22" s="65"/>
      <c r="M22" s="65"/>
      <c r="N22" s="65"/>
      <c r="O22" s="65"/>
      <c r="P22" s="65"/>
      <c r="Q22" s="93"/>
      <c r="R22" s="79"/>
      <c r="S22" s="62"/>
      <c r="T22" s="64"/>
      <c r="U22" s="65"/>
      <c r="V22" s="65"/>
      <c r="W22" s="65"/>
      <c r="X22" s="65"/>
      <c r="Y22" s="64"/>
      <c r="Z22" s="63"/>
      <c r="AA22" s="62"/>
      <c r="AB22" s="64"/>
      <c r="AC22" s="65"/>
      <c r="AD22" s="65"/>
      <c r="AE22" s="65"/>
      <c r="AF22" s="65"/>
      <c r="AG22" s="65"/>
      <c r="AH22" s="65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</row>
    <row r="23" spans="1:72" ht="12.75">
      <c r="A23" s="17">
        <v>1984</v>
      </c>
      <c r="B23" s="62">
        <f>D23+E23+F23</f>
        <v>1</v>
      </c>
      <c r="C23" s="64">
        <f>C22+B23</f>
        <v>1</v>
      </c>
      <c r="D23" s="65">
        <v>1</v>
      </c>
      <c r="E23" s="65"/>
      <c r="F23" s="65"/>
      <c r="G23" s="65">
        <f>G22+D23</f>
        <v>1</v>
      </c>
      <c r="H23" s="65"/>
      <c r="I23" s="93"/>
      <c r="J23" s="62"/>
      <c r="K23" s="64"/>
      <c r="L23" s="65"/>
      <c r="M23" s="65"/>
      <c r="N23" s="65"/>
      <c r="O23" s="65"/>
      <c r="P23" s="65"/>
      <c r="Q23" s="93"/>
      <c r="R23" s="79"/>
      <c r="S23" s="62"/>
      <c r="T23" s="64"/>
      <c r="U23" s="65"/>
      <c r="V23" s="65"/>
      <c r="W23" s="65"/>
      <c r="X23" s="65"/>
      <c r="Y23" s="64"/>
      <c r="Z23" s="63"/>
      <c r="AA23" s="62">
        <f>B23+J23+S23</f>
        <v>1</v>
      </c>
      <c r="AB23" s="64">
        <f>C23+K23+T23</f>
        <v>1</v>
      </c>
      <c r="AC23" s="65">
        <f>D23+L23+U23</f>
        <v>1</v>
      </c>
      <c r="AD23" s="65"/>
      <c r="AE23" s="65"/>
      <c r="AF23" s="65">
        <f>AC23</f>
        <v>1</v>
      </c>
      <c r="AG23" s="65"/>
      <c r="AH23" s="65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</row>
    <row r="24" spans="1:72" ht="12.75">
      <c r="A24" s="17">
        <v>1985</v>
      </c>
      <c r="B24" s="62">
        <f aca="true" t="shared" si="0" ref="B24:B43">D24+E24+F24</f>
        <v>4</v>
      </c>
      <c r="C24" s="64">
        <f aca="true" t="shared" si="1" ref="C24:C43">C23+B24</f>
        <v>5</v>
      </c>
      <c r="D24" s="65">
        <v>4</v>
      </c>
      <c r="E24" s="65"/>
      <c r="F24" s="65"/>
      <c r="G24" s="65">
        <f aca="true" t="shared" si="2" ref="G24:G43">G23+D24</f>
        <v>5</v>
      </c>
      <c r="H24" s="65"/>
      <c r="I24" s="93"/>
      <c r="J24" s="62"/>
      <c r="K24" s="64"/>
      <c r="L24" s="65"/>
      <c r="M24" s="65"/>
      <c r="N24" s="65"/>
      <c r="O24" s="65"/>
      <c r="P24" s="65"/>
      <c r="Q24" s="93"/>
      <c r="R24" s="79"/>
      <c r="S24" s="62">
        <f>U24+V24+W24</f>
        <v>8</v>
      </c>
      <c r="T24" s="64">
        <f>T23+S24</f>
        <v>8</v>
      </c>
      <c r="U24" s="65">
        <v>8</v>
      </c>
      <c r="V24" s="65"/>
      <c r="W24" s="65"/>
      <c r="X24" s="65">
        <f>X23+U24</f>
        <v>8</v>
      </c>
      <c r="Y24" s="64"/>
      <c r="Z24" s="63"/>
      <c r="AA24" s="62">
        <f aca="true" t="shared" si="3" ref="AA24:AA43">B24+J24+S24</f>
        <v>12</v>
      </c>
      <c r="AB24" s="64">
        <f aca="true" t="shared" si="4" ref="AB24:AB43">C24+K24+T24</f>
        <v>13</v>
      </c>
      <c r="AC24" s="65">
        <f aca="true" t="shared" si="5" ref="AC24:AC43">D24+L24+U24</f>
        <v>12</v>
      </c>
      <c r="AD24" s="65"/>
      <c r="AE24" s="65"/>
      <c r="AF24" s="65">
        <f>AF23+AC24</f>
        <v>13</v>
      </c>
      <c r="AG24" s="65"/>
      <c r="AH24" s="65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</row>
    <row r="25" spans="1:72" ht="12.75">
      <c r="A25" s="17">
        <v>1986</v>
      </c>
      <c r="B25" s="62">
        <f t="shared" si="0"/>
        <v>9</v>
      </c>
      <c r="C25" s="64">
        <f t="shared" si="1"/>
        <v>14</v>
      </c>
      <c r="D25" s="65">
        <v>9</v>
      </c>
      <c r="E25" s="65"/>
      <c r="F25" s="65"/>
      <c r="G25" s="65">
        <f t="shared" si="2"/>
        <v>14</v>
      </c>
      <c r="H25" s="65"/>
      <c r="I25" s="93"/>
      <c r="J25" s="62"/>
      <c r="K25" s="64"/>
      <c r="L25" s="65"/>
      <c r="M25" s="65"/>
      <c r="N25" s="65"/>
      <c r="O25" s="65"/>
      <c r="P25" s="65"/>
      <c r="Q25" s="93"/>
      <c r="R25" s="79"/>
      <c r="S25" s="62">
        <f aca="true" t="shared" si="6" ref="S25:S43">U25+V25+W25</f>
        <v>10</v>
      </c>
      <c r="T25" s="64">
        <f aca="true" t="shared" si="7" ref="T25:T43">T24+S25</f>
        <v>18</v>
      </c>
      <c r="U25" s="65">
        <v>10</v>
      </c>
      <c r="V25" s="65"/>
      <c r="W25" s="65"/>
      <c r="X25" s="65">
        <f aca="true" t="shared" si="8" ref="X25:X43">X24+U25</f>
        <v>18</v>
      </c>
      <c r="Y25" s="64"/>
      <c r="Z25" s="63"/>
      <c r="AA25" s="62">
        <f t="shared" si="3"/>
        <v>19</v>
      </c>
      <c r="AB25" s="64">
        <f t="shared" si="4"/>
        <v>32</v>
      </c>
      <c r="AC25" s="65">
        <f t="shared" si="5"/>
        <v>19</v>
      </c>
      <c r="AD25" s="65"/>
      <c r="AE25" s="65"/>
      <c r="AF25" s="65">
        <f aca="true" t="shared" si="9" ref="AF25:AF43">AF24+AC25</f>
        <v>32</v>
      </c>
      <c r="AG25" s="65"/>
      <c r="AH25" s="65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</row>
    <row r="26" spans="1:72" ht="12.75">
      <c r="A26" s="17">
        <v>1987</v>
      </c>
      <c r="B26" s="62">
        <f t="shared" si="0"/>
        <v>16</v>
      </c>
      <c r="C26" s="64">
        <f t="shared" si="1"/>
        <v>30</v>
      </c>
      <c r="D26" s="65">
        <v>16</v>
      </c>
      <c r="E26" s="65"/>
      <c r="F26" s="65"/>
      <c r="G26" s="65">
        <f t="shared" si="2"/>
        <v>30</v>
      </c>
      <c r="H26" s="65"/>
      <c r="I26" s="93"/>
      <c r="J26" s="62"/>
      <c r="K26" s="64"/>
      <c r="L26" s="65"/>
      <c r="M26" s="65"/>
      <c r="N26" s="65"/>
      <c r="O26" s="65"/>
      <c r="P26" s="65"/>
      <c r="Q26" s="93"/>
      <c r="R26" s="79"/>
      <c r="S26" s="62">
        <f t="shared" si="6"/>
        <v>10</v>
      </c>
      <c r="T26" s="64">
        <f t="shared" si="7"/>
        <v>28</v>
      </c>
      <c r="U26" s="65">
        <v>10</v>
      </c>
      <c r="V26" s="65"/>
      <c r="W26" s="65"/>
      <c r="X26" s="65">
        <f t="shared" si="8"/>
        <v>28</v>
      </c>
      <c r="Y26" s="64"/>
      <c r="Z26" s="63"/>
      <c r="AA26" s="62">
        <f t="shared" si="3"/>
        <v>26</v>
      </c>
      <c r="AB26" s="64">
        <f t="shared" si="4"/>
        <v>58</v>
      </c>
      <c r="AC26" s="65">
        <f t="shared" si="5"/>
        <v>26</v>
      </c>
      <c r="AD26" s="65"/>
      <c r="AE26" s="65"/>
      <c r="AF26" s="65">
        <f t="shared" si="9"/>
        <v>58</v>
      </c>
      <c r="AG26" s="65"/>
      <c r="AH26" s="65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</row>
    <row r="27" spans="1:72" ht="12.75">
      <c r="A27" s="17">
        <v>1988</v>
      </c>
      <c r="B27" s="62">
        <f t="shared" si="0"/>
        <v>19</v>
      </c>
      <c r="C27" s="64">
        <f t="shared" si="1"/>
        <v>49</v>
      </c>
      <c r="D27" s="65">
        <v>19</v>
      </c>
      <c r="E27" s="65"/>
      <c r="F27" s="65"/>
      <c r="G27" s="65">
        <f t="shared" si="2"/>
        <v>49</v>
      </c>
      <c r="H27" s="65"/>
      <c r="I27" s="93"/>
      <c r="J27" s="62">
        <f>L27+M27+N27</f>
        <v>1</v>
      </c>
      <c r="K27" s="64">
        <f>K26+J27</f>
        <v>1</v>
      </c>
      <c r="L27" s="65">
        <v>1</v>
      </c>
      <c r="M27" s="65"/>
      <c r="N27" s="65"/>
      <c r="O27" s="65">
        <f>O26+L27</f>
        <v>1</v>
      </c>
      <c r="P27" s="65"/>
      <c r="Q27" s="93"/>
      <c r="R27" s="79"/>
      <c r="S27" s="62">
        <f t="shared" si="6"/>
        <v>22</v>
      </c>
      <c r="T27" s="64">
        <f t="shared" si="7"/>
        <v>50</v>
      </c>
      <c r="U27" s="65">
        <v>22</v>
      </c>
      <c r="V27" s="65"/>
      <c r="W27" s="65"/>
      <c r="X27" s="65">
        <f t="shared" si="8"/>
        <v>50</v>
      </c>
      <c r="Y27" s="64"/>
      <c r="Z27" s="63"/>
      <c r="AA27" s="62">
        <f t="shared" si="3"/>
        <v>42</v>
      </c>
      <c r="AB27" s="64">
        <f t="shared" si="4"/>
        <v>100</v>
      </c>
      <c r="AC27" s="65">
        <f t="shared" si="5"/>
        <v>42</v>
      </c>
      <c r="AD27" s="65"/>
      <c r="AE27" s="65"/>
      <c r="AF27" s="65">
        <f t="shared" si="9"/>
        <v>100</v>
      </c>
      <c r="AG27" s="65"/>
      <c r="AH27" s="65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</row>
    <row r="28" spans="1:72" ht="12.75">
      <c r="A28" s="17">
        <v>1989</v>
      </c>
      <c r="B28" s="62">
        <f t="shared" si="0"/>
        <v>19</v>
      </c>
      <c r="C28" s="64">
        <f t="shared" si="1"/>
        <v>68</v>
      </c>
      <c r="D28" s="65">
        <v>19</v>
      </c>
      <c r="E28" s="65"/>
      <c r="F28" s="65"/>
      <c r="G28" s="65">
        <f t="shared" si="2"/>
        <v>68</v>
      </c>
      <c r="H28" s="65"/>
      <c r="I28" s="93"/>
      <c r="J28" s="62"/>
      <c r="K28" s="64">
        <f aca="true" t="shared" si="10" ref="K28:K43">K27+J28</f>
        <v>1</v>
      </c>
      <c r="L28" s="65"/>
      <c r="M28" s="65"/>
      <c r="N28" s="65"/>
      <c r="O28" s="65">
        <f aca="true" t="shared" si="11" ref="O28:O43">O27+L28</f>
        <v>1</v>
      </c>
      <c r="P28" s="65"/>
      <c r="Q28" s="93"/>
      <c r="R28" s="79"/>
      <c r="S28" s="62">
        <f t="shared" si="6"/>
        <v>20</v>
      </c>
      <c r="T28" s="64">
        <f t="shared" si="7"/>
        <v>70</v>
      </c>
      <c r="U28" s="65">
        <v>20</v>
      </c>
      <c r="V28" s="65"/>
      <c r="W28" s="65"/>
      <c r="X28" s="65">
        <f t="shared" si="8"/>
        <v>70</v>
      </c>
      <c r="Y28" s="64"/>
      <c r="Z28" s="63"/>
      <c r="AA28" s="62">
        <f t="shared" si="3"/>
        <v>39</v>
      </c>
      <c r="AB28" s="64">
        <f t="shared" si="4"/>
        <v>139</v>
      </c>
      <c r="AC28" s="65">
        <f t="shared" si="5"/>
        <v>39</v>
      </c>
      <c r="AD28" s="65"/>
      <c r="AE28" s="65"/>
      <c r="AF28" s="65">
        <f t="shared" si="9"/>
        <v>139</v>
      </c>
      <c r="AG28" s="65"/>
      <c r="AH28" s="65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</row>
    <row r="29" spans="1:72" ht="12.75">
      <c r="A29" s="17">
        <v>1990</v>
      </c>
      <c r="B29" s="62">
        <f t="shared" si="0"/>
        <v>23</v>
      </c>
      <c r="C29" s="64">
        <f t="shared" si="1"/>
        <v>91</v>
      </c>
      <c r="D29" s="65">
        <v>23</v>
      </c>
      <c r="E29" s="65"/>
      <c r="F29" s="65"/>
      <c r="G29" s="65">
        <f t="shared" si="2"/>
        <v>91</v>
      </c>
      <c r="H29" s="65"/>
      <c r="I29" s="93"/>
      <c r="J29" s="62">
        <f aca="true" t="shared" si="12" ref="J29:J43">L29+M29+N29</f>
        <v>1</v>
      </c>
      <c r="K29" s="64">
        <f t="shared" si="10"/>
        <v>2</v>
      </c>
      <c r="L29" s="65">
        <v>1</v>
      </c>
      <c r="M29" s="65"/>
      <c r="N29" s="65"/>
      <c r="O29" s="65">
        <f t="shared" si="11"/>
        <v>2</v>
      </c>
      <c r="P29" s="65"/>
      <c r="Q29" s="93"/>
      <c r="R29" s="79"/>
      <c r="S29" s="62">
        <f t="shared" si="6"/>
        <v>24</v>
      </c>
      <c r="T29" s="64">
        <f t="shared" si="7"/>
        <v>94</v>
      </c>
      <c r="U29" s="65">
        <v>24</v>
      </c>
      <c r="V29" s="65"/>
      <c r="W29" s="65"/>
      <c r="X29" s="65">
        <f t="shared" si="8"/>
        <v>94</v>
      </c>
      <c r="Y29" s="64"/>
      <c r="Z29" s="63"/>
      <c r="AA29" s="62">
        <f t="shared" si="3"/>
        <v>48</v>
      </c>
      <c r="AB29" s="64">
        <f t="shared" si="4"/>
        <v>187</v>
      </c>
      <c r="AC29" s="65">
        <f t="shared" si="5"/>
        <v>48</v>
      </c>
      <c r="AD29" s="65"/>
      <c r="AE29" s="65"/>
      <c r="AF29" s="65">
        <f t="shared" si="9"/>
        <v>187</v>
      </c>
      <c r="AG29" s="65"/>
      <c r="AH29" s="65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</row>
    <row r="30" spans="1:72" ht="12.75">
      <c r="A30" s="17">
        <v>1991</v>
      </c>
      <c r="B30" s="62">
        <f t="shared" si="0"/>
        <v>35</v>
      </c>
      <c r="C30" s="64">
        <f t="shared" si="1"/>
        <v>126</v>
      </c>
      <c r="D30" s="65">
        <v>35</v>
      </c>
      <c r="E30" s="65"/>
      <c r="F30" s="65"/>
      <c r="G30" s="65">
        <f t="shared" si="2"/>
        <v>126</v>
      </c>
      <c r="H30" s="65"/>
      <c r="I30" s="93"/>
      <c r="J30" s="62"/>
      <c r="K30" s="64">
        <f t="shared" si="10"/>
        <v>2</v>
      </c>
      <c r="L30" s="65"/>
      <c r="M30" s="65"/>
      <c r="N30" s="65"/>
      <c r="O30" s="65">
        <f t="shared" si="11"/>
        <v>2</v>
      </c>
      <c r="P30" s="65"/>
      <c r="Q30" s="93"/>
      <c r="R30" s="79"/>
      <c r="S30" s="62">
        <f t="shared" si="6"/>
        <v>27</v>
      </c>
      <c r="T30" s="64">
        <f t="shared" si="7"/>
        <v>121</v>
      </c>
      <c r="U30" s="65">
        <v>27</v>
      </c>
      <c r="V30" s="65"/>
      <c r="W30" s="65"/>
      <c r="X30" s="65">
        <f t="shared" si="8"/>
        <v>121</v>
      </c>
      <c r="Y30" s="64"/>
      <c r="Z30" s="63"/>
      <c r="AA30" s="62">
        <f t="shared" si="3"/>
        <v>62</v>
      </c>
      <c r="AB30" s="64">
        <f t="shared" si="4"/>
        <v>249</v>
      </c>
      <c r="AC30" s="65">
        <f t="shared" si="5"/>
        <v>62</v>
      </c>
      <c r="AD30" s="65"/>
      <c r="AE30" s="65"/>
      <c r="AF30" s="65">
        <f t="shared" si="9"/>
        <v>249</v>
      </c>
      <c r="AG30" s="65"/>
      <c r="AH30" s="65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</row>
    <row r="31" spans="1:72" ht="12.75">
      <c r="A31" s="17">
        <v>1992</v>
      </c>
      <c r="B31" s="62">
        <f t="shared" si="0"/>
        <v>29</v>
      </c>
      <c r="C31" s="64">
        <f t="shared" si="1"/>
        <v>155</v>
      </c>
      <c r="D31" s="65">
        <v>29</v>
      </c>
      <c r="E31" s="65"/>
      <c r="F31" s="65"/>
      <c r="G31" s="65">
        <f t="shared" si="2"/>
        <v>155</v>
      </c>
      <c r="H31" s="65"/>
      <c r="I31" s="93"/>
      <c r="J31" s="62">
        <f t="shared" si="12"/>
        <v>6</v>
      </c>
      <c r="K31" s="64">
        <f t="shared" si="10"/>
        <v>8</v>
      </c>
      <c r="L31" s="65">
        <v>6</v>
      </c>
      <c r="M31" s="65"/>
      <c r="N31" s="65"/>
      <c r="O31" s="65">
        <f t="shared" si="11"/>
        <v>8</v>
      </c>
      <c r="P31" s="65"/>
      <c r="Q31" s="93"/>
      <c r="R31" s="79"/>
      <c r="S31" s="62">
        <f t="shared" si="6"/>
        <v>34</v>
      </c>
      <c r="T31" s="64">
        <f t="shared" si="7"/>
        <v>155</v>
      </c>
      <c r="U31" s="65">
        <v>34</v>
      </c>
      <c r="V31" s="65"/>
      <c r="W31" s="65"/>
      <c r="X31" s="65">
        <f t="shared" si="8"/>
        <v>155</v>
      </c>
      <c r="Y31" s="64"/>
      <c r="Z31" s="63"/>
      <c r="AA31" s="62">
        <f t="shared" si="3"/>
        <v>69</v>
      </c>
      <c r="AB31" s="64">
        <f t="shared" si="4"/>
        <v>318</v>
      </c>
      <c r="AC31" s="65">
        <f t="shared" si="5"/>
        <v>69</v>
      </c>
      <c r="AD31" s="65"/>
      <c r="AE31" s="65"/>
      <c r="AF31" s="65">
        <f t="shared" si="9"/>
        <v>318</v>
      </c>
      <c r="AG31" s="65"/>
      <c r="AH31" s="65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</row>
    <row r="32" spans="1:72" ht="12.75">
      <c r="A32" s="17">
        <v>1993</v>
      </c>
      <c r="B32" s="62">
        <f t="shared" si="0"/>
        <v>41</v>
      </c>
      <c r="C32" s="64">
        <f t="shared" si="1"/>
        <v>196</v>
      </c>
      <c r="D32" s="65">
        <v>41</v>
      </c>
      <c r="E32" s="65"/>
      <c r="F32" s="65"/>
      <c r="G32" s="65">
        <f t="shared" si="2"/>
        <v>196</v>
      </c>
      <c r="H32" s="65"/>
      <c r="I32" s="93"/>
      <c r="J32" s="62">
        <f t="shared" si="12"/>
        <v>8</v>
      </c>
      <c r="K32" s="64">
        <f t="shared" si="10"/>
        <v>16</v>
      </c>
      <c r="L32" s="65">
        <v>8</v>
      </c>
      <c r="M32" s="65"/>
      <c r="N32" s="65"/>
      <c r="O32" s="65">
        <f t="shared" si="11"/>
        <v>16</v>
      </c>
      <c r="P32" s="65"/>
      <c r="Q32" s="93"/>
      <c r="R32" s="79"/>
      <c r="S32" s="62">
        <f t="shared" si="6"/>
        <v>33</v>
      </c>
      <c r="T32" s="64">
        <f t="shared" si="7"/>
        <v>188</v>
      </c>
      <c r="U32" s="65">
        <v>33</v>
      </c>
      <c r="V32" s="65"/>
      <c r="W32" s="65"/>
      <c r="X32" s="65">
        <f t="shared" si="8"/>
        <v>188</v>
      </c>
      <c r="Y32" s="64"/>
      <c r="Z32" s="63"/>
      <c r="AA32" s="62">
        <f t="shared" si="3"/>
        <v>82</v>
      </c>
      <c r="AB32" s="64">
        <f t="shared" si="4"/>
        <v>400</v>
      </c>
      <c r="AC32" s="65">
        <f t="shared" si="5"/>
        <v>82</v>
      </c>
      <c r="AD32" s="65"/>
      <c r="AE32" s="65"/>
      <c r="AF32" s="65">
        <f t="shared" si="9"/>
        <v>400</v>
      </c>
      <c r="AG32" s="65"/>
      <c r="AH32" s="65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</row>
    <row r="33" spans="1:72" ht="12.75">
      <c r="A33" s="17">
        <v>1994</v>
      </c>
      <c r="B33" s="62">
        <f t="shared" si="0"/>
        <v>40</v>
      </c>
      <c r="C33" s="64">
        <f t="shared" si="1"/>
        <v>236</v>
      </c>
      <c r="D33" s="65">
        <v>40</v>
      </c>
      <c r="E33" s="65"/>
      <c r="F33" s="65"/>
      <c r="G33" s="65">
        <f t="shared" si="2"/>
        <v>236</v>
      </c>
      <c r="H33" s="65"/>
      <c r="I33" s="93"/>
      <c r="J33" s="62">
        <f t="shared" si="12"/>
        <v>6</v>
      </c>
      <c r="K33" s="64">
        <f t="shared" si="10"/>
        <v>22</v>
      </c>
      <c r="L33" s="65">
        <v>6</v>
      </c>
      <c r="M33" s="65"/>
      <c r="N33" s="65"/>
      <c r="O33" s="65">
        <f t="shared" si="11"/>
        <v>22</v>
      </c>
      <c r="P33" s="65"/>
      <c r="Q33" s="93"/>
      <c r="R33" s="79"/>
      <c r="S33" s="62">
        <f t="shared" si="6"/>
        <v>31</v>
      </c>
      <c r="T33" s="64">
        <f t="shared" si="7"/>
        <v>219</v>
      </c>
      <c r="U33" s="65">
        <v>31</v>
      </c>
      <c r="V33" s="65"/>
      <c r="W33" s="65"/>
      <c r="X33" s="65">
        <f t="shared" si="8"/>
        <v>219</v>
      </c>
      <c r="Y33" s="64"/>
      <c r="Z33" s="63"/>
      <c r="AA33" s="62">
        <f t="shared" si="3"/>
        <v>77</v>
      </c>
      <c r="AB33" s="64">
        <f t="shared" si="4"/>
        <v>477</v>
      </c>
      <c r="AC33" s="65">
        <f t="shared" si="5"/>
        <v>77</v>
      </c>
      <c r="AD33" s="65"/>
      <c r="AE33" s="65"/>
      <c r="AF33" s="65">
        <f t="shared" si="9"/>
        <v>477</v>
      </c>
      <c r="AG33" s="65"/>
      <c r="AH33" s="65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</row>
    <row r="34" spans="1:72" ht="12.75">
      <c r="A34" s="17">
        <v>1995</v>
      </c>
      <c r="B34" s="62">
        <f t="shared" si="0"/>
        <v>25</v>
      </c>
      <c r="C34" s="64">
        <f t="shared" si="1"/>
        <v>261</v>
      </c>
      <c r="D34" s="65">
        <v>25</v>
      </c>
      <c r="E34" s="65"/>
      <c r="F34" s="65"/>
      <c r="G34" s="65">
        <f t="shared" si="2"/>
        <v>261</v>
      </c>
      <c r="H34" s="65"/>
      <c r="I34" s="93"/>
      <c r="J34" s="62">
        <f t="shared" si="12"/>
        <v>12</v>
      </c>
      <c r="K34" s="64">
        <f t="shared" si="10"/>
        <v>34</v>
      </c>
      <c r="L34" s="65">
        <v>12</v>
      </c>
      <c r="M34" s="65"/>
      <c r="N34" s="65"/>
      <c r="O34" s="65">
        <f t="shared" si="11"/>
        <v>34</v>
      </c>
      <c r="P34" s="65"/>
      <c r="Q34" s="93"/>
      <c r="R34" s="79"/>
      <c r="S34" s="62">
        <f t="shared" si="6"/>
        <v>50</v>
      </c>
      <c r="T34" s="64">
        <f t="shared" si="7"/>
        <v>269</v>
      </c>
      <c r="U34" s="65">
        <v>50</v>
      </c>
      <c r="V34" s="65"/>
      <c r="W34" s="65"/>
      <c r="X34" s="65">
        <f t="shared" si="8"/>
        <v>269</v>
      </c>
      <c r="Y34" s="64"/>
      <c r="Z34" s="63"/>
      <c r="AA34" s="62">
        <f t="shared" si="3"/>
        <v>87</v>
      </c>
      <c r="AB34" s="64">
        <f t="shared" si="4"/>
        <v>564</v>
      </c>
      <c r="AC34" s="65">
        <f t="shared" si="5"/>
        <v>87</v>
      </c>
      <c r="AD34" s="65"/>
      <c r="AE34" s="65"/>
      <c r="AF34" s="65">
        <f t="shared" si="9"/>
        <v>564</v>
      </c>
      <c r="AG34" s="65"/>
      <c r="AH34" s="65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</row>
    <row r="35" spans="1:72" ht="12.75">
      <c r="A35" s="17">
        <v>1996</v>
      </c>
      <c r="B35" s="62">
        <f t="shared" si="0"/>
        <v>27</v>
      </c>
      <c r="C35" s="64">
        <f t="shared" si="1"/>
        <v>288</v>
      </c>
      <c r="D35" s="65">
        <v>26</v>
      </c>
      <c r="E35" s="65">
        <v>1</v>
      </c>
      <c r="F35" s="65"/>
      <c r="G35" s="65">
        <f t="shared" si="2"/>
        <v>287</v>
      </c>
      <c r="H35" s="65">
        <f aca="true" t="shared" si="13" ref="H35:H43">H34+E35</f>
        <v>1</v>
      </c>
      <c r="I35" s="93"/>
      <c r="J35" s="62">
        <f t="shared" si="12"/>
        <v>5</v>
      </c>
      <c r="K35" s="64">
        <f t="shared" si="10"/>
        <v>39</v>
      </c>
      <c r="L35" s="65">
        <v>5</v>
      </c>
      <c r="M35" s="65"/>
      <c r="N35" s="65"/>
      <c r="O35" s="65">
        <f t="shared" si="11"/>
        <v>39</v>
      </c>
      <c r="P35" s="65"/>
      <c r="Q35" s="93"/>
      <c r="R35" s="79"/>
      <c r="S35" s="62">
        <f t="shared" si="6"/>
        <v>43</v>
      </c>
      <c r="T35" s="64">
        <f t="shared" si="7"/>
        <v>312</v>
      </c>
      <c r="U35" s="65">
        <v>42</v>
      </c>
      <c r="V35" s="65">
        <v>1</v>
      </c>
      <c r="W35" s="65"/>
      <c r="X35" s="65">
        <f t="shared" si="8"/>
        <v>311</v>
      </c>
      <c r="Y35" s="64">
        <f aca="true" t="shared" si="14" ref="Y35:Y43">Y34+V35</f>
        <v>1</v>
      </c>
      <c r="Z35" s="63"/>
      <c r="AA35" s="62">
        <f t="shared" si="3"/>
        <v>75</v>
      </c>
      <c r="AB35" s="64">
        <f t="shared" si="4"/>
        <v>639</v>
      </c>
      <c r="AC35" s="65">
        <f t="shared" si="5"/>
        <v>73</v>
      </c>
      <c r="AD35" s="65">
        <f>E35+M35+V35</f>
        <v>2</v>
      </c>
      <c r="AE35" s="65"/>
      <c r="AF35" s="65">
        <f t="shared" si="9"/>
        <v>637</v>
      </c>
      <c r="AG35" s="65">
        <f>AG34+AD35</f>
        <v>2</v>
      </c>
      <c r="AH35" s="65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</row>
    <row r="36" spans="1:72" ht="12.75">
      <c r="A36" s="17">
        <v>1997</v>
      </c>
      <c r="B36" s="62">
        <f t="shared" si="0"/>
        <v>34</v>
      </c>
      <c r="C36" s="64">
        <f t="shared" si="1"/>
        <v>322</v>
      </c>
      <c r="D36" s="65">
        <v>33</v>
      </c>
      <c r="E36" s="65"/>
      <c r="F36" s="65">
        <v>1</v>
      </c>
      <c r="G36" s="65">
        <f t="shared" si="2"/>
        <v>320</v>
      </c>
      <c r="H36" s="65">
        <f t="shared" si="13"/>
        <v>1</v>
      </c>
      <c r="I36" s="93"/>
      <c r="J36" s="62">
        <f t="shared" si="12"/>
        <v>10</v>
      </c>
      <c r="K36" s="64">
        <f t="shared" si="10"/>
        <v>49</v>
      </c>
      <c r="L36" s="65">
        <v>9</v>
      </c>
      <c r="M36" s="65"/>
      <c r="N36" s="65">
        <v>1</v>
      </c>
      <c r="O36" s="65">
        <f t="shared" si="11"/>
        <v>48</v>
      </c>
      <c r="P36" s="65"/>
      <c r="Q36" s="93">
        <f aca="true" t="shared" si="15" ref="Q36:Q43">Q35+N36</f>
        <v>1</v>
      </c>
      <c r="R36" s="79"/>
      <c r="S36" s="62">
        <f t="shared" si="6"/>
        <v>48</v>
      </c>
      <c r="T36" s="64">
        <f t="shared" si="7"/>
        <v>360</v>
      </c>
      <c r="U36" s="65">
        <v>47</v>
      </c>
      <c r="V36" s="65">
        <v>1</v>
      </c>
      <c r="W36" s="65"/>
      <c r="X36" s="65">
        <f t="shared" si="8"/>
        <v>358</v>
      </c>
      <c r="Y36" s="64">
        <f t="shared" si="14"/>
        <v>2</v>
      </c>
      <c r="Z36" s="63"/>
      <c r="AA36" s="62">
        <f t="shared" si="3"/>
        <v>92</v>
      </c>
      <c r="AB36" s="64">
        <f t="shared" si="4"/>
        <v>731</v>
      </c>
      <c r="AC36" s="65">
        <f t="shared" si="5"/>
        <v>89</v>
      </c>
      <c r="AD36" s="65">
        <f aca="true" t="shared" si="16" ref="AD36:AD43">E36+M36+V36</f>
        <v>1</v>
      </c>
      <c r="AE36" s="65">
        <f>F36+N36+W36</f>
        <v>2</v>
      </c>
      <c r="AF36" s="65">
        <f t="shared" si="9"/>
        <v>726</v>
      </c>
      <c r="AG36" s="65">
        <f aca="true" t="shared" si="17" ref="AG36:AG43">AG35+AD36</f>
        <v>3</v>
      </c>
      <c r="AH36" s="65">
        <f>AH35+AE36</f>
        <v>2</v>
      </c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</row>
    <row r="37" spans="1:72" ht="12.75">
      <c r="A37" s="17">
        <v>1998</v>
      </c>
      <c r="B37" s="62">
        <f t="shared" si="0"/>
        <v>45</v>
      </c>
      <c r="C37" s="64">
        <f t="shared" si="1"/>
        <v>367</v>
      </c>
      <c r="D37" s="65">
        <v>42</v>
      </c>
      <c r="E37" s="65"/>
      <c r="F37" s="65">
        <v>3</v>
      </c>
      <c r="G37" s="65">
        <f t="shared" si="2"/>
        <v>362</v>
      </c>
      <c r="H37" s="65">
        <f t="shared" si="13"/>
        <v>1</v>
      </c>
      <c r="I37" s="93">
        <f aca="true" t="shared" si="18" ref="I37:I43">I36+F37</f>
        <v>3</v>
      </c>
      <c r="J37" s="62">
        <f t="shared" si="12"/>
        <v>2</v>
      </c>
      <c r="K37" s="64">
        <f t="shared" si="10"/>
        <v>51</v>
      </c>
      <c r="L37" s="65">
        <v>2</v>
      </c>
      <c r="M37" s="65"/>
      <c r="N37" s="65"/>
      <c r="O37" s="65">
        <f t="shared" si="11"/>
        <v>50</v>
      </c>
      <c r="P37" s="65"/>
      <c r="Q37" s="93">
        <f t="shared" si="15"/>
        <v>1</v>
      </c>
      <c r="R37" s="79"/>
      <c r="S37" s="62">
        <f t="shared" si="6"/>
        <v>58</v>
      </c>
      <c r="T37" s="64">
        <f t="shared" si="7"/>
        <v>418</v>
      </c>
      <c r="U37" s="65">
        <v>52</v>
      </c>
      <c r="V37" s="65">
        <v>5</v>
      </c>
      <c r="W37" s="65">
        <v>1</v>
      </c>
      <c r="X37" s="65">
        <f t="shared" si="8"/>
        <v>410</v>
      </c>
      <c r="Y37" s="64">
        <f t="shared" si="14"/>
        <v>7</v>
      </c>
      <c r="Z37" s="63">
        <f>Z36+W37</f>
        <v>1</v>
      </c>
      <c r="AA37" s="62">
        <f t="shared" si="3"/>
        <v>105</v>
      </c>
      <c r="AB37" s="64">
        <f t="shared" si="4"/>
        <v>836</v>
      </c>
      <c r="AC37" s="65">
        <f t="shared" si="5"/>
        <v>96</v>
      </c>
      <c r="AD37" s="65">
        <f t="shared" si="16"/>
        <v>5</v>
      </c>
      <c r="AE37" s="65">
        <f aca="true" t="shared" si="19" ref="AE37:AE43">F37+N37+W37</f>
        <v>4</v>
      </c>
      <c r="AF37" s="65">
        <f t="shared" si="9"/>
        <v>822</v>
      </c>
      <c r="AG37" s="65">
        <f t="shared" si="17"/>
        <v>8</v>
      </c>
      <c r="AH37" s="65">
        <f aca="true" t="shared" si="20" ref="AH37:AH43">AH36+AE37</f>
        <v>6</v>
      </c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</row>
    <row r="38" spans="1:72" ht="12.75">
      <c r="A38" s="18">
        <v>1999</v>
      </c>
      <c r="B38" s="66">
        <f t="shared" si="0"/>
        <v>47</v>
      </c>
      <c r="C38" s="68">
        <f t="shared" si="1"/>
        <v>414</v>
      </c>
      <c r="D38" s="69">
        <v>46</v>
      </c>
      <c r="E38" s="69"/>
      <c r="F38" s="69">
        <v>1</v>
      </c>
      <c r="G38" s="69">
        <f t="shared" si="2"/>
        <v>408</v>
      </c>
      <c r="H38" s="69">
        <f t="shared" si="13"/>
        <v>1</v>
      </c>
      <c r="I38" s="94">
        <f t="shared" si="18"/>
        <v>4</v>
      </c>
      <c r="J38" s="66"/>
      <c r="K38" s="68">
        <f t="shared" si="10"/>
        <v>51</v>
      </c>
      <c r="L38" s="69"/>
      <c r="M38" s="69"/>
      <c r="N38" s="69"/>
      <c r="O38" s="69">
        <f t="shared" si="11"/>
        <v>50</v>
      </c>
      <c r="P38" s="69"/>
      <c r="Q38" s="94">
        <f t="shared" si="15"/>
        <v>1</v>
      </c>
      <c r="R38" s="80"/>
      <c r="S38" s="66">
        <f t="shared" si="6"/>
        <v>46</v>
      </c>
      <c r="T38" s="68">
        <f t="shared" si="7"/>
        <v>464</v>
      </c>
      <c r="U38" s="69">
        <v>44</v>
      </c>
      <c r="V38" s="69">
        <v>2</v>
      </c>
      <c r="W38" s="69"/>
      <c r="X38" s="69">
        <f t="shared" si="8"/>
        <v>454</v>
      </c>
      <c r="Y38" s="68">
        <f t="shared" si="14"/>
        <v>9</v>
      </c>
      <c r="Z38" s="67">
        <f aca="true" t="shared" si="21" ref="Z38:Z43">Z37+W38</f>
        <v>1</v>
      </c>
      <c r="AA38" s="66">
        <f t="shared" si="3"/>
        <v>93</v>
      </c>
      <c r="AB38" s="68">
        <f t="shared" si="4"/>
        <v>929</v>
      </c>
      <c r="AC38" s="69">
        <f t="shared" si="5"/>
        <v>90</v>
      </c>
      <c r="AD38" s="69">
        <f t="shared" si="16"/>
        <v>2</v>
      </c>
      <c r="AE38" s="69">
        <f t="shared" si="19"/>
        <v>1</v>
      </c>
      <c r="AF38" s="69">
        <f t="shared" si="9"/>
        <v>912</v>
      </c>
      <c r="AG38" s="69">
        <f t="shared" si="17"/>
        <v>10</v>
      </c>
      <c r="AH38" s="69">
        <f t="shared" si="20"/>
        <v>7</v>
      </c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</row>
    <row r="39" spans="1:72" s="7" customFormat="1" ht="16.5" customHeight="1">
      <c r="A39" s="17">
        <v>2000</v>
      </c>
      <c r="B39" s="62">
        <f t="shared" si="0"/>
        <v>58</v>
      </c>
      <c r="C39" s="64">
        <f t="shared" si="1"/>
        <v>472</v>
      </c>
      <c r="D39" s="65">
        <v>53</v>
      </c>
      <c r="E39" s="65"/>
      <c r="F39" s="65">
        <v>5</v>
      </c>
      <c r="G39" s="65">
        <f t="shared" si="2"/>
        <v>461</v>
      </c>
      <c r="H39" s="65">
        <f t="shared" si="13"/>
        <v>1</v>
      </c>
      <c r="I39" s="93">
        <f t="shared" si="18"/>
        <v>9</v>
      </c>
      <c r="J39" s="62"/>
      <c r="K39" s="64">
        <f t="shared" si="10"/>
        <v>51</v>
      </c>
      <c r="L39" s="65"/>
      <c r="M39" s="65"/>
      <c r="N39" s="65"/>
      <c r="O39" s="65">
        <f t="shared" si="11"/>
        <v>50</v>
      </c>
      <c r="P39" s="65"/>
      <c r="Q39" s="93">
        <f t="shared" si="15"/>
        <v>1</v>
      </c>
      <c r="R39" s="79"/>
      <c r="S39" s="62">
        <f t="shared" si="6"/>
        <v>48</v>
      </c>
      <c r="T39" s="64">
        <f t="shared" si="7"/>
        <v>512</v>
      </c>
      <c r="U39" s="65">
        <v>45</v>
      </c>
      <c r="V39" s="65">
        <v>2</v>
      </c>
      <c r="W39" s="65">
        <v>1</v>
      </c>
      <c r="X39" s="65">
        <f t="shared" si="8"/>
        <v>499</v>
      </c>
      <c r="Y39" s="64">
        <f t="shared" si="14"/>
        <v>11</v>
      </c>
      <c r="Z39" s="63">
        <f t="shared" si="21"/>
        <v>2</v>
      </c>
      <c r="AA39" s="62">
        <f t="shared" si="3"/>
        <v>106</v>
      </c>
      <c r="AB39" s="64">
        <f t="shared" si="4"/>
        <v>1035</v>
      </c>
      <c r="AC39" s="65">
        <f t="shared" si="5"/>
        <v>98</v>
      </c>
      <c r="AD39" s="65">
        <f t="shared" si="16"/>
        <v>2</v>
      </c>
      <c r="AE39" s="65">
        <f t="shared" si="19"/>
        <v>6</v>
      </c>
      <c r="AF39" s="65">
        <f t="shared" si="9"/>
        <v>1010</v>
      </c>
      <c r="AG39" s="65">
        <f t="shared" si="17"/>
        <v>12</v>
      </c>
      <c r="AH39" s="65">
        <f t="shared" si="20"/>
        <v>13</v>
      </c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</row>
    <row r="40" spans="1:72" ht="12.75">
      <c r="A40" s="17">
        <v>2001</v>
      </c>
      <c r="B40" s="62">
        <f t="shared" si="0"/>
        <v>47</v>
      </c>
      <c r="C40" s="64">
        <f t="shared" si="1"/>
        <v>519</v>
      </c>
      <c r="D40" s="65">
        <v>44</v>
      </c>
      <c r="E40" s="65">
        <v>3</v>
      </c>
      <c r="F40" s="65"/>
      <c r="G40" s="65">
        <f t="shared" si="2"/>
        <v>505</v>
      </c>
      <c r="H40" s="65">
        <f t="shared" si="13"/>
        <v>4</v>
      </c>
      <c r="I40" s="93">
        <f t="shared" si="18"/>
        <v>9</v>
      </c>
      <c r="J40" s="62">
        <f t="shared" si="12"/>
        <v>1</v>
      </c>
      <c r="K40" s="64">
        <f t="shared" si="10"/>
        <v>52</v>
      </c>
      <c r="L40" s="65">
        <v>1</v>
      </c>
      <c r="M40" s="65"/>
      <c r="N40" s="65"/>
      <c r="O40" s="65">
        <f t="shared" si="11"/>
        <v>51</v>
      </c>
      <c r="P40" s="65"/>
      <c r="Q40" s="93">
        <f t="shared" si="15"/>
        <v>1</v>
      </c>
      <c r="R40" s="79"/>
      <c r="S40" s="62">
        <f t="shared" si="6"/>
        <v>54</v>
      </c>
      <c r="T40" s="64">
        <f t="shared" si="7"/>
        <v>566</v>
      </c>
      <c r="U40" s="65">
        <v>50</v>
      </c>
      <c r="V40" s="65">
        <v>4</v>
      </c>
      <c r="W40" s="65"/>
      <c r="X40" s="65">
        <f t="shared" si="8"/>
        <v>549</v>
      </c>
      <c r="Y40" s="64">
        <f t="shared" si="14"/>
        <v>15</v>
      </c>
      <c r="Z40" s="63">
        <f t="shared" si="21"/>
        <v>2</v>
      </c>
      <c r="AA40" s="62">
        <f t="shared" si="3"/>
        <v>102</v>
      </c>
      <c r="AB40" s="64">
        <f t="shared" si="4"/>
        <v>1137</v>
      </c>
      <c r="AC40" s="65">
        <f t="shared" si="5"/>
        <v>95</v>
      </c>
      <c r="AD40" s="65">
        <f t="shared" si="16"/>
        <v>7</v>
      </c>
      <c r="AE40" s="65">
        <f t="shared" si="19"/>
        <v>0</v>
      </c>
      <c r="AF40" s="65">
        <f t="shared" si="9"/>
        <v>1105</v>
      </c>
      <c r="AG40" s="65">
        <f t="shared" si="17"/>
        <v>19</v>
      </c>
      <c r="AH40" s="65">
        <f t="shared" si="20"/>
        <v>13</v>
      </c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</row>
    <row r="41" spans="1:72" ht="12.75">
      <c r="A41" s="17">
        <v>2002</v>
      </c>
      <c r="B41" s="62">
        <f t="shared" si="0"/>
        <v>45</v>
      </c>
      <c r="C41" s="64">
        <f t="shared" si="1"/>
        <v>564</v>
      </c>
      <c r="D41" s="65">
        <v>41</v>
      </c>
      <c r="E41" s="65">
        <v>2</v>
      </c>
      <c r="F41" s="65">
        <v>2</v>
      </c>
      <c r="G41" s="65">
        <f t="shared" si="2"/>
        <v>546</v>
      </c>
      <c r="H41" s="65">
        <f t="shared" si="13"/>
        <v>6</v>
      </c>
      <c r="I41" s="93">
        <f t="shared" si="18"/>
        <v>11</v>
      </c>
      <c r="J41" s="62">
        <f t="shared" si="12"/>
        <v>4</v>
      </c>
      <c r="K41" s="64">
        <f t="shared" si="10"/>
        <v>56</v>
      </c>
      <c r="L41" s="65">
        <v>4</v>
      </c>
      <c r="M41" s="65"/>
      <c r="N41" s="65"/>
      <c r="O41" s="65">
        <f t="shared" si="11"/>
        <v>55</v>
      </c>
      <c r="P41" s="65"/>
      <c r="Q41" s="93">
        <f t="shared" si="15"/>
        <v>1</v>
      </c>
      <c r="R41" s="79"/>
      <c r="S41" s="62">
        <f t="shared" si="6"/>
        <v>53</v>
      </c>
      <c r="T41" s="64">
        <f t="shared" si="7"/>
        <v>619</v>
      </c>
      <c r="U41" s="65">
        <v>50</v>
      </c>
      <c r="V41" s="65">
        <v>3</v>
      </c>
      <c r="W41" s="65"/>
      <c r="X41" s="65">
        <f t="shared" si="8"/>
        <v>599</v>
      </c>
      <c r="Y41" s="64">
        <f t="shared" si="14"/>
        <v>18</v>
      </c>
      <c r="Z41" s="63">
        <f t="shared" si="21"/>
        <v>2</v>
      </c>
      <c r="AA41" s="62">
        <f t="shared" si="3"/>
        <v>102</v>
      </c>
      <c r="AB41" s="64">
        <f t="shared" si="4"/>
        <v>1239</v>
      </c>
      <c r="AC41" s="65">
        <f t="shared" si="5"/>
        <v>95</v>
      </c>
      <c r="AD41" s="65">
        <f t="shared" si="16"/>
        <v>5</v>
      </c>
      <c r="AE41" s="65">
        <f t="shared" si="19"/>
        <v>2</v>
      </c>
      <c r="AF41" s="65">
        <f t="shared" si="9"/>
        <v>1200</v>
      </c>
      <c r="AG41" s="65">
        <f t="shared" si="17"/>
        <v>24</v>
      </c>
      <c r="AH41" s="65">
        <f t="shared" si="20"/>
        <v>15</v>
      </c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</row>
    <row r="42" spans="1:72" ht="12.75">
      <c r="A42" s="17">
        <v>2003</v>
      </c>
      <c r="B42" s="62">
        <f t="shared" si="0"/>
        <v>50</v>
      </c>
      <c r="C42" s="64">
        <f t="shared" si="1"/>
        <v>614</v>
      </c>
      <c r="D42" s="65">
        <v>44</v>
      </c>
      <c r="E42" s="65">
        <v>1</v>
      </c>
      <c r="F42" s="65">
        <v>5</v>
      </c>
      <c r="G42" s="65">
        <f t="shared" si="2"/>
        <v>590</v>
      </c>
      <c r="H42" s="65">
        <f t="shared" si="13"/>
        <v>7</v>
      </c>
      <c r="I42" s="93">
        <f t="shared" si="18"/>
        <v>16</v>
      </c>
      <c r="J42" s="62">
        <f t="shared" si="12"/>
        <v>8</v>
      </c>
      <c r="K42" s="64">
        <f t="shared" si="10"/>
        <v>64</v>
      </c>
      <c r="L42" s="65">
        <v>8</v>
      </c>
      <c r="M42" s="65"/>
      <c r="N42" s="65"/>
      <c r="O42" s="65">
        <f t="shared" si="11"/>
        <v>63</v>
      </c>
      <c r="P42" s="65"/>
      <c r="Q42" s="93">
        <f t="shared" si="15"/>
        <v>1</v>
      </c>
      <c r="R42" s="79"/>
      <c r="S42" s="62">
        <f t="shared" si="6"/>
        <v>69</v>
      </c>
      <c r="T42" s="64">
        <f t="shared" si="7"/>
        <v>688</v>
      </c>
      <c r="U42" s="65">
        <v>63</v>
      </c>
      <c r="V42" s="65">
        <v>4</v>
      </c>
      <c r="W42" s="65">
        <v>2</v>
      </c>
      <c r="X42" s="65">
        <f t="shared" si="8"/>
        <v>662</v>
      </c>
      <c r="Y42" s="64">
        <f t="shared" si="14"/>
        <v>22</v>
      </c>
      <c r="Z42" s="63">
        <f t="shared" si="21"/>
        <v>4</v>
      </c>
      <c r="AA42" s="62">
        <f t="shared" si="3"/>
        <v>127</v>
      </c>
      <c r="AB42" s="64">
        <f t="shared" si="4"/>
        <v>1366</v>
      </c>
      <c r="AC42" s="65">
        <f t="shared" si="5"/>
        <v>115</v>
      </c>
      <c r="AD42" s="65">
        <f t="shared" si="16"/>
        <v>5</v>
      </c>
      <c r="AE42" s="65">
        <f t="shared" si="19"/>
        <v>7</v>
      </c>
      <c r="AF42" s="65">
        <f t="shared" si="9"/>
        <v>1315</v>
      </c>
      <c r="AG42" s="65">
        <f t="shared" si="17"/>
        <v>29</v>
      </c>
      <c r="AH42" s="65">
        <f t="shared" si="20"/>
        <v>22</v>
      </c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</row>
    <row r="43" spans="1:72" ht="12.75">
      <c r="A43" s="17">
        <v>2004</v>
      </c>
      <c r="B43" s="62">
        <f t="shared" si="0"/>
        <v>52</v>
      </c>
      <c r="C43" s="64">
        <f t="shared" si="1"/>
        <v>666</v>
      </c>
      <c r="D43" s="142">
        <v>47</v>
      </c>
      <c r="E43" s="65">
        <v>2</v>
      </c>
      <c r="F43" s="65">
        <f>3+0</f>
        <v>3</v>
      </c>
      <c r="G43" s="65">
        <f t="shared" si="2"/>
        <v>637</v>
      </c>
      <c r="H43" s="65">
        <f t="shared" si="13"/>
        <v>9</v>
      </c>
      <c r="I43" s="93">
        <f t="shared" si="18"/>
        <v>19</v>
      </c>
      <c r="J43" s="62">
        <f t="shared" si="12"/>
        <v>11</v>
      </c>
      <c r="K43" s="64">
        <f t="shared" si="10"/>
        <v>75</v>
      </c>
      <c r="L43" s="65">
        <v>11</v>
      </c>
      <c r="M43" s="65">
        <f>0+0</f>
        <v>0</v>
      </c>
      <c r="N43" s="65">
        <f>0+0</f>
        <v>0</v>
      </c>
      <c r="O43" s="65">
        <f t="shared" si="11"/>
        <v>74</v>
      </c>
      <c r="P43" s="65"/>
      <c r="Q43" s="93">
        <f t="shared" si="15"/>
        <v>1</v>
      </c>
      <c r="R43" s="79"/>
      <c r="S43" s="62">
        <f t="shared" si="6"/>
        <v>70</v>
      </c>
      <c r="T43" s="64">
        <f t="shared" si="7"/>
        <v>758</v>
      </c>
      <c r="U43" s="65">
        <v>60</v>
      </c>
      <c r="V43" s="65">
        <v>7</v>
      </c>
      <c r="W43" s="65">
        <v>3</v>
      </c>
      <c r="X43" s="65">
        <f t="shared" si="8"/>
        <v>722</v>
      </c>
      <c r="Y43" s="64">
        <f t="shared" si="14"/>
        <v>29</v>
      </c>
      <c r="Z43" s="63">
        <f t="shared" si="21"/>
        <v>7</v>
      </c>
      <c r="AA43" s="62">
        <f t="shared" si="3"/>
        <v>133</v>
      </c>
      <c r="AB43" s="64">
        <f t="shared" si="4"/>
        <v>1499</v>
      </c>
      <c r="AC43" s="65">
        <f t="shared" si="5"/>
        <v>118</v>
      </c>
      <c r="AD43" s="65">
        <f t="shared" si="16"/>
        <v>9</v>
      </c>
      <c r="AE43" s="65">
        <f t="shared" si="19"/>
        <v>6</v>
      </c>
      <c r="AF43" s="65">
        <f t="shared" si="9"/>
        <v>1433</v>
      </c>
      <c r="AG43" s="65">
        <f t="shared" si="17"/>
        <v>38</v>
      </c>
      <c r="AH43" s="65">
        <f t="shared" si="20"/>
        <v>28</v>
      </c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</row>
    <row r="44" spans="1:34" s="78" customFormat="1" ht="12.75">
      <c r="A44" s="17">
        <v>2005</v>
      </c>
      <c r="B44" s="62">
        <f aca="true" t="shared" si="22" ref="B44:B49">D44+E44+F44</f>
        <v>60</v>
      </c>
      <c r="C44" s="64">
        <f aca="true" t="shared" si="23" ref="C44:C49">C43+B44</f>
        <v>726</v>
      </c>
      <c r="D44" s="65">
        <f>12+12+12+17</f>
        <v>53</v>
      </c>
      <c r="E44" s="65">
        <f>0+0+0+0</f>
        <v>0</v>
      </c>
      <c r="F44" s="65">
        <f>0+2+2+3</f>
        <v>7</v>
      </c>
      <c r="G44" s="65">
        <f aca="true" t="shared" si="24" ref="G44:I45">G43+D44</f>
        <v>690</v>
      </c>
      <c r="H44" s="65">
        <f t="shared" si="24"/>
        <v>9</v>
      </c>
      <c r="I44" s="93">
        <f t="shared" si="24"/>
        <v>26</v>
      </c>
      <c r="J44" s="62">
        <f aca="true" t="shared" si="25" ref="J44:J49">L44+M44+N44</f>
        <v>8</v>
      </c>
      <c r="K44" s="64">
        <f aca="true" t="shared" si="26" ref="K44:K49">K43+J44</f>
        <v>83</v>
      </c>
      <c r="L44" s="73">
        <f>4+1+2+1</f>
        <v>8</v>
      </c>
      <c r="M44" s="73">
        <f>0+0</f>
        <v>0</v>
      </c>
      <c r="N44" s="73">
        <f>0+0</f>
        <v>0</v>
      </c>
      <c r="O44" s="65">
        <f aca="true" t="shared" si="27" ref="O44:O49">O43+L44</f>
        <v>82</v>
      </c>
      <c r="P44" s="65"/>
      <c r="Q44" s="93">
        <f aca="true" t="shared" si="28" ref="Q44:Q49">Q43+N44</f>
        <v>1</v>
      </c>
      <c r="R44" s="79"/>
      <c r="S44" s="62">
        <f aca="true" t="shared" si="29" ref="S44:S49">U44+V44+W44</f>
        <v>67</v>
      </c>
      <c r="T44" s="64">
        <f aca="true" t="shared" si="30" ref="T44:T49">T43+S44</f>
        <v>825</v>
      </c>
      <c r="U44" s="152">
        <f>11+21+14+18</f>
        <v>64</v>
      </c>
      <c r="V44" s="152">
        <f>1+0+0+2</f>
        <v>3</v>
      </c>
      <c r="W44" s="73">
        <f>0+0+0</f>
        <v>0</v>
      </c>
      <c r="X44" s="65">
        <f aca="true" t="shared" si="31" ref="X44:Z45">X43+U44</f>
        <v>786</v>
      </c>
      <c r="Y44" s="64">
        <f t="shared" si="31"/>
        <v>32</v>
      </c>
      <c r="Z44" s="63">
        <f t="shared" si="31"/>
        <v>7</v>
      </c>
      <c r="AA44" s="62">
        <f aca="true" t="shared" si="32" ref="AA44:AE45">B44+J44+S44</f>
        <v>135</v>
      </c>
      <c r="AB44" s="64">
        <f t="shared" si="32"/>
        <v>1634</v>
      </c>
      <c r="AC44" s="65">
        <f t="shared" si="32"/>
        <v>125</v>
      </c>
      <c r="AD44" s="65">
        <f t="shared" si="32"/>
        <v>3</v>
      </c>
      <c r="AE44" s="65">
        <f t="shared" si="32"/>
        <v>7</v>
      </c>
      <c r="AF44" s="65">
        <f aca="true" t="shared" si="33" ref="AF44:AH45">AF43+AC44</f>
        <v>1558</v>
      </c>
      <c r="AG44" s="65">
        <f t="shared" si="33"/>
        <v>41</v>
      </c>
      <c r="AH44" s="65">
        <f t="shared" si="33"/>
        <v>35</v>
      </c>
    </row>
    <row r="45" spans="1:34" s="78" customFormat="1" ht="12.75">
      <c r="A45" s="17">
        <v>2006</v>
      </c>
      <c r="B45" s="62">
        <f t="shared" si="22"/>
        <v>59</v>
      </c>
      <c r="C45" s="64">
        <f t="shared" si="23"/>
        <v>785</v>
      </c>
      <c r="D45" s="65">
        <f>17+11+14+11</f>
        <v>53</v>
      </c>
      <c r="E45" s="65">
        <f>2+1+0+0</f>
        <v>3</v>
      </c>
      <c r="F45" s="65">
        <f>1+0+1+1</f>
        <v>3</v>
      </c>
      <c r="G45" s="65">
        <f t="shared" si="24"/>
        <v>743</v>
      </c>
      <c r="H45" s="65">
        <f t="shared" si="24"/>
        <v>12</v>
      </c>
      <c r="I45" s="93">
        <f t="shared" si="24"/>
        <v>29</v>
      </c>
      <c r="J45" s="62">
        <f t="shared" si="25"/>
        <v>8</v>
      </c>
      <c r="K45" s="64">
        <f t="shared" si="26"/>
        <v>91</v>
      </c>
      <c r="L45" s="73">
        <f>2+2+0+4</f>
        <v>8</v>
      </c>
      <c r="M45" s="73">
        <f>0+0+0</f>
        <v>0</v>
      </c>
      <c r="N45" s="73">
        <f>0+0+0</f>
        <v>0</v>
      </c>
      <c r="O45" s="65">
        <f t="shared" si="27"/>
        <v>90</v>
      </c>
      <c r="P45" s="65"/>
      <c r="Q45" s="93">
        <f t="shared" si="28"/>
        <v>1</v>
      </c>
      <c r="R45" s="79"/>
      <c r="S45" s="62">
        <f t="shared" si="29"/>
        <v>60</v>
      </c>
      <c r="T45" s="64">
        <f t="shared" si="30"/>
        <v>885</v>
      </c>
      <c r="U45" s="152">
        <f>15+12+7+22</f>
        <v>56</v>
      </c>
      <c r="V45" s="152">
        <f>2+0+0+1</f>
        <v>3</v>
      </c>
      <c r="W45" s="73">
        <f>0+0+1+0</f>
        <v>1</v>
      </c>
      <c r="X45" s="65">
        <f t="shared" si="31"/>
        <v>842</v>
      </c>
      <c r="Y45" s="64">
        <f t="shared" si="31"/>
        <v>35</v>
      </c>
      <c r="Z45" s="63">
        <f t="shared" si="31"/>
        <v>8</v>
      </c>
      <c r="AA45" s="62">
        <f t="shared" si="32"/>
        <v>127</v>
      </c>
      <c r="AB45" s="64">
        <f t="shared" si="32"/>
        <v>1761</v>
      </c>
      <c r="AC45" s="65">
        <f t="shared" si="32"/>
        <v>117</v>
      </c>
      <c r="AD45" s="65">
        <f t="shared" si="32"/>
        <v>6</v>
      </c>
      <c r="AE45" s="65">
        <f t="shared" si="32"/>
        <v>4</v>
      </c>
      <c r="AF45" s="65">
        <f t="shared" si="33"/>
        <v>1675</v>
      </c>
      <c r="AG45" s="65">
        <f t="shared" si="33"/>
        <v>47</v>
      </c>
      <c r="AH45" s="65">
        <f t="shared" si="33"/>
        <v>39</v>
      </c>
    </row>
    <row r="46" spans="1:34" s="78" customFormat="1" ht="12.75">
      <c r="A46" s="17">
        <v>2007</v>
      </c>
      <c r="B46" s="62">
        <f t="shared" si="22"/>
        <v>52</v>
      </c>
      <c r="C46" s="64">
        <f t="shared" si="23"/>
        <v>837</v>
      </c>
      <c r="D46" s="65">
        <f>12+13+10+10</f>
        <v>45</v>
      </c>
      <c r="E46" s="65">
        <f>2+1+0+0</f>
        <v>3</v>
      </c>
      <c r="F46" s="65">
        <f>3+0+1+0</f>
        <v>4</v>
      </c>
      <c r="G46" s="65">
        <f aca="true" t="shared" si="34" ref="G46:I47">G45+D46</f>
        <v>788</v>
      </c>
      <c r="H46" s="65">
        <f t="shared" si="34"/>
        <v>15</v>
      </c>
      <c r="I46" s="93">
        <f t="shared" si="34"/>
        <v>33</v>
      </c>
      <c r="J46" s="62">
        <f t="shared" si="25"/>
        <v>9</v>
      </c>
      <c r="K46" s="64">
        <f t="shared" si="26"/>
        <v>100</v>
      </c>
      <c r="L46" s="73">
        <f>3+1+2+3</f>
        <v>9</v>
      </c>
      <c r="M46" s="73">
        <f>0+0+0+0</f>
        <v>0</v>
      </c>
      <c r="N46" s="73">
        <f>0+0+0+0</f>
        <v>0</v>
      </c>
      <c r="O46" s="65">
        <f t="shared" si="27"/>
        <v>99</v>
      </c>
      <c r="P46" s="65"/>
      <c r="Q46" s="93">
        <f t="shared" si="28"/>
        <v>1</v>
      </c>
      <c r="R46" s="79"/>
      <c r="S46" s="62">
        <f t="shared" si="29"/>
        <v>75</v>
      </c>
      <c r="T46" s="64">
        <f t="shared" si="30"/>
        <v>960</v>
      </c>
      <c r="U46" s="152">
        <f>24+14+19+17</f>
        <v>74</v>
      </c>
      <c r="V46" s="152">
        <f>1+0+0+0</f>
        <v>1</v>
      </c>
      <c r="W46" s="73">
        <f>0+0+0+0</f>
        <v>0</v>
      </c>
      <c r="X46" s="65">
        <f aca="true" t="shared" si="35" ref="X46:Z47">X45+U46</f>
        <v>916</v>
      </c>
      <c r="Y46" s="64">
        <f t="shared" si="35"/>
        <v>36</v>
      </c>
      <c r="Z46" s="63">
        <f t="shared" si="35"/>
        <v>8</v>
      </c>
      <c r="AA46" s="62">
        <f aca="true" t="shared" si="36" ref="AA46:AE48">B46+J46+S46</f>
        <v>136</v>
      </c>
      <c r="AB46" s="64">
        <f t="shared" si="36"/>
        <v>1897</v>
      </c>
      <c r="AC46" s="65">
        <f t="shared" si="36"/>
        <v>128</v>
      </c>
      <c r="AD46" s="65">
        <f t="shared" si="36"/>
        <v>4</v>
      </c>
      <c r="AE46" s="65">
        <f t="shared" si="36"/>
        <v>4</v>
      </c>
      <c r="AF46" s="65">
        <f aca="true" t="shared" si="37" ref="AF46:AH47">AF45+AC46</f>
        <v>1803</v>
      </c>
      <c r="AG46" s="65">
        <f t="shared" si="37"/>
        <v>51</v>
      </c>
      <c r="AH46" s="65">
        <f t="shared" si="37"/>
        <v>43</v>
      </c>
    </row>
    <row r="47" spans="1:34" s="78" customFormat="1" ht="12.75">
      <c r="A47" s="17">
        <v>2008</v>
      </c>
      <c r="B47" s="62">
        <f t="shared" si="22"/>
        <v>58</v>
      </c>
      <c r="C47" s="64">
        <f t="shared" si="23"/>
        <v>895</v>
      </c>
      <c r="D47" s="65">
        <f>15+13+13+11</f>
        <v>52</v>
      </c>
      <c r="E47" s="65">
        <f>1+0+0+1</f>
        <v>2</v>
      </c>
      <c r="F47" s="65">
        <f>0+2+0+2</f>
        <v>4</v>
      </c>
      <c r="G47" s="65">
        <f t="shared" si="34"/>
        <v>840</v>
      </c>
      <c r="H47" s="65">
        <f t="shared" si="34"/>
        <v>17</v>
      </c>
      <c r="I47" s="93">
        <f t="shared" si="34"/>
        <v>37</v>
      </c>
      <c r="J47" s="62">
        <f t="shared" si="25"/>
        <v>13</v>
      </c>
      <c r="K47" s="64">
        <f t="shared" si="26"/>
        <v>113</v>
      </c>
      <c r="L47" s="73">
        <f>4+3+2+4</f>
        <v>13</v>
      </c>
      <c r="M47" s="73">
        <f>0</f>
        <v>0</v>
      </c>
      <c r="N47" s="73">
        <f>0</f>
        <v>0</v>
      </c>
      <c r="O47" s="65">
        <f t="shared" si="27"/>
        <v>112</v>
      </c>
      <c r="P47" s="65"/>
      <c r="Q47" s="93">
        <f t="shared" si="28"/>
        <v>1</v>
      </c>
      <c r="R47" s="79"/>
      <c r="S47" s="62">
        <f t="shared" si="29"/>
        <v>76</v>
      </c>
      <c r="T47" s="64">
        <f t="shared" si="30"/>
        <v>1036</v>
      </c>
      <c r="U47" s="152">
        <f>16+13+19+20</f>
        <v>68</v>
      </c>
      <c r="V47" s="152">
        <f>1+1+1+2</f>
        <v>5</v>
      </c>
      <c r="W47" s="73">
        <f>1+0+0+2</f>
        <v>3</v>
      </c>
      <c r="X47" s="65">
        <f t="shared" si="35"/>
        <v>984</v>
      </c>
      <c r="Y47" s="64">
        <f t="shared" si="35"/>
        <v>41</v>
      </c>
      <c r="Z47" s="63">
        <f t="shared" si="35"/>
        <v>11</v>
      </c>
      <c r="AA47" s="62">
        <f t="shared" si="36"/>
        <v>147</v>
      </c>
      <c r="AB47" s="64">
        <f t="shared" si="36"/>
        <v>2044</v>
      </c>
      <c r="AC47" s="65">
        <f t="shared" si="36"/>
        <v>133</v>
      </c>
      <c r="AD47" s="65">
        <f t="shared" si="36"/>
        <v>7</v>
      </c>
      <c r="AE47" s="65">
        <f t="shared" si="36"/>
        <v>7</v>
      </c>
      <c r="AF47" s="65">
        <f t="shared" si="37"/>
        <v>1936</v>
      </c>
      <c r="AG47" s="65">
        <f t="shared" si="37"/>
        <v>58</v>
      </c>
      <c r="AH47" s="65">
        <f t="shared" si="37"/>
        <v>50</v>
      </c>
    </row>
    <row r="48" spans="1:34" s="78" customFormat="1" ht="12.75">
      <c r="A48" s="17">
        <v>2009</v>
      </c>
      <c r="B48" s="62">
        <f t="shared" si="22"/>
        <v>46</v>
      </c>
      <c r="C48" s="64">
        <f t="shared" si="23"/>
        <v>941</v>
      </c>
      <c r="D48" s="65">
        <f>8+13+11+9</f>
        <v>41</v>
      </c>
      <c r="E48" s="65">
        <f>0+0+0+0</f>
        <v>0</v>
      </c>
      <c r="F48" s="65">
        <f>2+0+1+2</f>
        <v>5</v>
      </c>
      <c r="G48" s="65">
        <f aca="true" t="shared" si="38" ref="G48:I49">G47+D48</f>
        <v>881</v>
      </c>
      <c r="H48" s="65">
        <f t="shared" si="38"/>
        <v>17</v>
      </c>
      <c r="I48" s="93">
        <f t="shared" si="38"/>
        <v>42</v>
      </c>
      <c r="J48" s="62">
        <f t="shared" si="25"/>
        <v>11</v>
      </c>
      <c r="K48" s="64">
        <f t="shared" si="26"/>
        <v>124</v>
      </c>
      <c r="L48" s="73">
        <f>2+0+3+5</f>
        <v>10</v>
      </c>
      <c r="M48" s="73">
        <f>0+0+0</f>
        <v>0</v>
      </c>
      <c r="N48" s="73">
        <f>0+1+0+0</f>
        <v>1</v>
      </c>
      <c r="O48" s="65">
        <f t="shared" si="27"/>
        <v>122</v>
      </c>
      <c r="P48" s="65"/>
      <c r="Q48" s="93">
        <f t="shared" si="28"/>
        <v>2</v>
      </c>
      <c r="R48" s="79"/>
      <c r="S48" s="62">
        <f t="shared" si="29"/>
        <v>89</v>
      </c>
      <c r="T48" s="64">
        <f t="shared" si="30"/>
        <v>1125</v>
      </c>
      <c r="U48" s="152">
        <f>18+28+18+22</f>
        <v>86</v>
      </c>
      <c r="V48" s="152">
        <f>0+1+0+1</f>
        <v>2</v>
      </c>
      <c r="W48" s="152">
        <f>0+0+0+1</f>
        <v>1</v>
      </c>
      <c r="X48" s="65">
        <f aca="true" t="shared" si="39" ref="X48:Z49">X47+U48</f>
        <v>1070</v>
      </c>
      <c r="Y48" s="64">
        <f t="shared" si="39"/>
        <v>43</v>
      </c>
      <c r="Z48" s="63">
        <f t="shared" si="39"/>
        <v>12</v>
      </c>
      <c r="AA48" s="62">
        <f aca="true" t="shared" si="40" ref="AA48:AB50">B48+J48+S48</f>
        <v>146</v>
      </c>
      <c r="AB48" s="64">
        <f t="shared" si="40"/>
        <v>2190</v>
      </c>
      <c r="AC48" s="65">
        <f t="shared" si="36"/>
        <v>137</v>
      </c>
      <c r="AD48" s="65">
        <f t="shared" si="36"/>
        <v>2</v>
      </c>
      <c r="AE48" s="65">
        <f t="shared" si="36"/>
        <v>7</v>
      </c>
      <c r="AF48" s="65">
        <f aca="true" t="shared" si="41" ref="AF48:AH49">AF47+AC48</f>
        <v>2073</v>
      </c>
      <c r="AG48" s="65">
        <f t="shared" si="41"/>
        <v>60</v>
      </c>
      <c r="AH48" s="65">
        <f t="shared" si="41"/>
        <v>57</v>
      </c>
    </row>
    <row r="49" spans="1:34" s="78" customFormat="1" ht="12.75">
      <c r="A49" s="17">
        <v>2010</v>
      </c>
      <c r="B49" s="62">
        <f t="shared" si="22"/>
        <v>54</v>
      </c>
      <c r="C49" s="64">
        <f t="shared" si="23"/>
        <v>995</v>
      </c>
      <c r="D49" s="65">
        <f>11+10+13+11</f>
        <v>45</v>
      </c>
      <c r="E49" s="65">
        <f>1+0+0+2</f>
        <v>3</v>
      </c>
      <c r="F49" s="65">
        <f>4+1+1+0</f>
        <v>6</v>
      </c>
      <c r="G49" s="65">
        <f t="shared" si="38"/>
        <v>926</v>
      </c>
      <c r="H49" s="65">
        <f t="shared" si="38"/>
        <v>20</v>
      </c>
      <c r="I49" s="93">
        <f t="shared" si="38"/>
        <v>48</v>
      </c>
      <c r="J49" s="62">
        <f t="shared" si="25"/>
        <v>3</v>
      </c>
      <c r="K49" s="64">
        <f t="shared" si="26"/>
        <v>127</v>
      </c>
      <c r="L49" s="73">
        <f>1+2+0+0</f>
        <v>3</v>
      </c>
      <c r="M49" s="73">
        <f aca="true" t="shared" si="42" ref="M49:M59">0+0</f>
        <v>0</v>
      </c>
      <c r="N49" s="73">
        <f>0</f>
        <v>0</v>
      </c>
      <c r="O49" s="65">
        <f t="shared" si="27"/>
        <v>125</v>
      </c>
      <c r="P49" s="65"/>
      <c r="Q49" s="93">
        <f t="shared" si="28"/>
        <v>2</v>
      </c>
      <c r="R49" s="79"/>
      <c r="S49" s="62">
        <f t="shared" si="29"/>
        <v>80</v>
      </c>
      <c r="T49" s="64">
        <f t="shared" si="30"/>
        <v>1205</v>
      </c>
      <c r="U49" s="152">
        <f>8+19+28+19</f>
        <v>74</v>
      </c>
      <c r="V49" s="152">
        <f>2+1+1+1</f>
        <v>5</v>
      </c>
      <c r="W49" s="152">
        <f>0+1+0+0</f>
        <v>1</v>
      </c>
      <c r="X49" s="65">
        <f t="shared" si="39"/>
        <v>1144</v>
      </c>
      <c r="Y49" s="64">
        <f t="shared" si="39"/>
        <v>48</v>
      </c>
      <c r="Z49" s="63">
        <f t="shared" si="39"/>
        <v>13</v>
      </c>
      <c r="AA49" s="62">
        <f t="shared" si="40"/>
        <v>137</v>
      </c>
      <c r="AB49" s="64">
        <f t="shared" si="40"/>
        <v>2327</v>
      </c>
      <c r="AC49" s="65">
        <f aca="true" t="shared" si="43" ref="AC49:AE50">D49+L49+U49</f>
        <v>122</v>
      </c>
      <c r="AD49" s="65">
        <f t="shared" si="43"/>
        <v>8</v>
      </c>
      <c r="AE49" s="65">
        <f t="shared" si="43"/>
        <v>7</v>
      </c>
      <c r="AF49" s="65">
        <f t="shared" si="41"/>
        <v>2195</v>
      </c>
      <c r="AG49" s="65">
        <f t="shared" si="41"/>
        <v>68</v>
      </c>
      <c r="AH49" s="65">
        <f t="shared" si="41"/>
        <v>64</v>
      </c>
    </row>
    <row r="50" spans="1:34" s="179" customFormat="1" ht="12.75">
      <c r="A50" s="171">
        <v>2011</v>
      </c>
      <c r="B50" s="175">
        <f aca="true" t="shared" si="44" ref="B50:B55">D50+E50+F50</f>
        <v>73</v>
      </c>
      <c r="C50" s="140">
        <f aca="true" t="shared" si="45" ref="C50:C55">C49+B50</f>
        <v>1068</v>
      </c>
      <c r="D50" s="147">
        <f>13+24+19+15</f>
        <v>71</v>
      </c>
      <c r="E50" s="147">
        <f>0+0+0</f>
        <v>0</v>
      </c>
      <c r="F50" s="147">
        <f>1+0+1</f>
        <v>2</v>
      </c>
      <c r="G50" s="147">
        <f aca="true" t="shared" si="46" ref="G50:I51">G49+D50</f>
        <v>997</v>
      </c>
      <c r="H50" s="147">
        <f t="shared" si="46"/>
        <v>20</v>
      </c>
      <c r="I50" s="182">
        <f t="shared" si="46"/>
        <v>50</v>
      </c>
      <c r="J50" s="175">
        <f aca="true" t="shared" si="47" ref="J50:J55">L50+M50+N50</f>
        <v>0</v>
      </c>
      <c r="K50" s="140"/>
      <c r="L50" s="183"/>
      <c r="M50" s="183">
        <f t="shared" si="42"/>
        <v>0</v>
      </c>
      <c r="N50" s="183">
        <f>0</f>
        <v>0</v>
      </c>
      <c r="O50" s="147">
        <f aca="true" t="shared" si="48" ref="O50:O55">O49+L50</f>
        <v>125</v>
      </c>
      <c r="P50" s="147"/>
      <c r="Q50" s="182">
        <f aca="true" t="shared" si="49" ref="Q50:Q55">Q49+N50</f>
        <v>2</v>
      </c>
      <c r="R50" s="184"/>
      <c r="S50" s="175">
        <f aca="true" t="shared" si="50" ref="S50:S55">U50+V50+W50</f>
        <v>83</v>
      </c>
      <c r="T50" s="140">
        <f aca="true" t="shared" si="51" ref="T50:T55">T49+S50</f>
        <v>1288</v>
      </c>
      <c r="U50" s="150">
        <f>24+25+20+9</f>
        <v>78</v>
      </c>
      <c r="V50" s="150">
        <f>3+1+0</f>
        <v>4</v>
      </c>
      <c r="W50" s="150">
        <f>0+1+0</f>
        <v>1</v>
      </c>
      <c r="X50" s="147">
        <f aca="true" t="shared" si="52" ref="X50:Z51">X49+U50</f>
        <v>1222</v>
      </c>
      <c r="Y50" s="140">
        <f t="shared" si="52"/>
        <v>52</v>
      </c>
      <c r="Z50" s="141">
        <f t="shared" si="52"/>
        <v>14</v>
      </c>
      <c r="AA50" s="175">
        <f t="shared" si="40"/>
        <v>156</v>
      </c>
      <c r="AB50" s="140">
        <f t="shared" si="40"/>
        <v>2356</v>
      </c>
      <c r="AC50" s="147">
        <f t="shared" si="43"/>
        <v>149</v>
      </c>
      <c r="AD50" s="147">
        <f t="shared" si="43"/>
        <v>4</v>
      </c>
      <c r="AE50" s="147">
        <f t="shared" si="43"/>
        <v>3</v>
      </c>
      <c r="AF50" s="147">
        <f aca="true" t="shared" si="53" ref="AF50:AH51">AF49+AC50</f>
        <v>2344</v>
      </c>
      <c r="AG50" s="147">
        <f t="shared" si="53"/>
        <v>72</v>
      </c>
      <c r="AH50" s="147">
        <f t="shared" si="53"/>
        <v>67</v>
      </c>
    </row>
    <row r="51" spans="1:34" s="179" customFormat="1" ht="12.75">
      <c r="A51" s="171">
        <v>2012</v>
      </c>
      <c r="B51" s="175">
        <f t="shared" si="44"/>
        <v>74</v>
      </c>
      <c r="C51" s="140">
        <f t="shared" si="45"/>
        <v>1142</v>
      </c>
      <c r="D51" s="147">
        <f>11+17+16+24</f>
        <v>68</v>
      </c>
      <c r="E51" s="147">
        <f>0+1+1+1</f>
        <v>3</v>
      </c>
      <c r="F51" s="147">
        <f>0+1+1+1</f>
        <v>3</v>
      </c>
      <c r="G51" s="147">
        <f t="shared" si="46"/>
        <v>1065</v>
      </c>
      <c r="H51" s="147">
        <f t="shared" si="46"/>
        <v>23</v>
      </c>
      <c r="I51" s="182">
        <f t="shared" si="46"/>
        <v>53</v>
      </c>
      <c r="J51" s="175">
        <f t="shared" si="47"/>
        <v>0</v>
      </c>
      <c r="K51" s="140"/>
      <c r="L51" s="183"/>
      <c r="M51" s="183">
        <f t="shared" si="42"/>
        <v>0</v>
      </c>
      <c r="N51" s="183">
        <f>0</f>
        <v>0</v>
      </c>
      <c r="O51" s="147">
        <f t="shared" si="48"/>
        <v>125</v>
      </c>
      <c r="P51" s="147"/>
      <c r="Q51" s="182">
        <f t="shared" si="49"/>
        <v>2</v>
      </c>
      <c r="R51" s="184"/>
      <c r="S51" s="175">
        <f t="shared" si="50"/>
        <v>79</v>
      </c>
      <c r="T51" s="140">
        <f t="shared" si="51"/>
        <v>1367</v>
      </c>
      <c r="U51" s="150">
        <f>20+11+23+20</f>
        <v>74</v>
      </c>
      <c r="V51" s="150">
        <f>0+1+1+2</f>
        <v>4</v>
      </c>
      <c r="W51" s="150">
        <f>0+1+0+0</f>
        <v>1</v>
      </c>
      <c r="X51" s="147">
        <f t="shared" si="52"/>
        <v>1296</v>
      </c>
      <c r="Y51" s="140">
        <f t="shared" si="52"/>
        <v>56</v>
      </c>
      <c r="Z51" s="141">
        <f t="shared" si="52"/>
        <v>15</v>
      </c>
      <c r="AA51" s="175">
        <f aca="true" t="shared" si="54" ref="AA51:AE52">B51+J51+S51</f>
        <v>153</v>
      </c>
      <c r="AB51" s="140">
        <f t="shared" si="54"/>
        <v>2509</v>
      </c>
      <c r="AC51" s="147">
        <f t="shared" si="54"/>
        <v>142</v>
      </c>
      <c r="AD51" s="147">
        <f t="shared" si="54"/>
        <v>7</v>
      </c>
      <c r="AE51" s="147">
        <f t="shared" si="54"/>
        <v>4</v>
      </c>
      <c r="AF51" s="147">
        <f t="shared" si="53"/>
        <v>2486</v>
      </c>
      <c r="AG51" s="147">
        <f t="shared" si="53"/>
        <v>79</v>
      </c>
      <c r="AH51" s="147">
        <f t="shared" si="53"/>
        <v>71</v>
      </c>
    </row>
    <row r="52" spans="1:34" s="202" customFormat="1" ht="12.75">
      <c r="A52" s="168">
        <v>2013</v>
      </c>
      <c r="B52" s="177">
        <f t="shared" si="44"/>
        <v>80</v>
      </c>
      <c r="C52" s="169">
        <f t="shared" si="45"/>
        <v>1222</v>
      </c>
      <c r="D52" s="155">
        <f>9+20+19+24</f>
        <v>72</v>
      </c>
      <c r="E52" s="155">
        <f>2+0+0+0</f>
        <v>2</v>
      </c>
      <c r="F52" s="155">
        <f>1+2+1+2</f>
        <v>6</v>
      </c>
      <c r="G52" s="155">
        <f aca="true" t="shared" si="55" ref="G52:I53">G51+D52</f>
        <v>1137</v>
      </c>
      <c r="H52" s="155">
        <f t="shared" si="55"/>
        <v>25</v>
      </c>
      <c r="I52" s="233">
        <f t="shared" si="55"/>
        <v>59</v>
      </c>
      <c r="J52" s="177">
        <f t="shared" si="47"/>
        <v>0</v>
      </c>
      <c r="K52" s="169"/>
      <c r="L52" s="150"/>
      <c r="M52" s="150">
        <f t="shared" si="42"/>
        <v>0</v>
      </c>
      <c r="N52" s="150">
        <f>0</f>
        <v>0</v>
      </c>
      <c r="O52" s="155">
        <f t="shared" si="48"/>
        <v>125</v>
      </c>
      <c r="P52" s="155"/>
      <c r="Q52" s="233">
        <f t="shared" si="49"/>
        <v>2</v>
      </c>
      <c r="R52" s="234"/>
      <c r="S52" s="177">
        <f t="shared" si="50"/>
        <v>81</v>
      </c>
      <c r="T52" s="169">
        <f t="shared" si="51"/>
        <v>1448</v>
      </c>
      <c r="U52" s="150">
        <f>18+14+24+22</f>
        <v>78</v>
      </c>
      <c r="V52" s="150">
        <f>1+1+1+0</f>
        <v>3</v>
      </c>
      <c r="W52" s="150">
        <f>0+0+0+0</f>
        <v>0</v>
      </c>
      <c r="X52" s="155">
        <f aca="true" t="shared" si="56" ref="X52:Z53">X51+U52</f>
        <v>1374</v>
      </c>
      <c r="Y52" s="169">
        <f t="shared" si="56"/>
        <v>59</v>
      </c>
      <c r="Z52" s="180">
        <f t="shared" si="56"/>
        <v>15</v>
      </c>
      <c r="AA52" s="177">
        <f t="shared" si="54"/>
        <v>161</v>
      </c>
      <c r="AB52" s="169">
        <f t="shared" si="54"/>
        <v>2670</v>
      </c>
      <c r="AC52" s="155">
        <f t="shared" si="54"/>
        <v>150</v>
      </c>
      <c r="AD52" s="155">
        <f t="shared" si="54"/>
        <v>5</v>
      </c>
      <c r="AE52" s="155">
        <f t="shared" si="54"/>
        <v>6</v>
      </c>
      <c r="AF52" s="155">
        <f aca="true" t="shared" si="57" ref="AF52:AH53">AF51+AC52</f>
        <v>2636</v>
      </c>
      <c r="AG52" s="155">
        <f t="shared" si="57"/>
        <v>84</v>
      </c>
      <c r="AH52" s="155">
        <f t="shared" si="57"/>
        <v>77</v>
      </c>
    </row>
    <row r="53" spans="1:49" s="211" customFormat="1" ht="12.75">
      <c r="A53" s="168">
        <v>2014</v>
      </c>
      <c r="B53" s="177">
        <f t="shared" si="44"/>
        <v>85</v>
      </c>
      <c r="C53" s="169">
        <f t="shared" si="45"/>
        <v>1307</v>
      </c>
      <c r="D53" s="155">
        <f>16+24+18+23</f>
        <v>81</v>
      </c>
      <c r="E53" s="155">
        <f>1+0+0+0</f>
        <v>1</v>
      </c>
      <c r="F53" s="155">
        <f>1+0+0+2</f>
        <v>3</v>
      </c>
      <c r="G53" s="155">
        <f t="shared" si="55"/>
        <v>1218</v>
      </c>
      <c r="H53" s="155">
        <f t="shared" si="55"/>
        <v>26</v>
      </c>
      <c r="I53" s="233">
        <f t="shared" si="55"/>
        <v>62</v>
      </c>
      <c r="J53" s="177">
        <f t="shared" si="47"/>
        <v>0</v>
      </c>
      <c r="K53" s="169"/>
      <c r="L53" s="150"/>
      <c r="M53" s="150">
        <f t="shared" si="42"/>
        <v>0</v>
      </c>
      <c r="N53" s="150">
        <f>0</f>
        <v>0</v>
      </c>
      <c r="O53" s="155">
        <f t="shared" si="48"/>
        <v>125</v>
      </c>
      <c r="P53" s="155"/>
      <c r="Q53" s="233">
        <f t="shared" si="49"/>
        <v>2</v>
      </c>
      <c r="R53" s="234"/>
      <c r="S53" s="177">
        <f t="shared" si="50"/>
        <v>97</v>
      </c>
      <c r="T53" s="169">
        <f t="shared" si="51"/>
        <v>1545</v>
      </c>
      <c r="U53" s="150">
        <f>22+16+22+30</f>
        <v>90</v>
      </c>
      <c r="V53" s="150">
        <f>2+2+1+0</f>
        <v>5</v>
      </c>
      <c r="W53" s="150">
        <f>1+1+0+0</f>
        <v>2</v>
      </c>
      <c r="X53" s="155">
        <f t="shared" si="56"/>
        <v>1464</v>
      </c>
      <c r="Y53" s="169">
        <f t="shared" si="56"/>
        <v>64</v>
      </c>
      <c r="Z53" s="180">
        <f t="shared" si="56"/>
        <v>17</v>
      </c>
      <c r="AA53" s="177">
        <f aca="true" t="shared" si="58" ref="AA53:AE54">B53+J53+S53</f>
        <v>182</v>
      </c>
      <c r="AB53" s="169">
        <f aca="true" t="shared" si="59" ref="AB53:AB58">C53+K53+T53</f>
        <v>2852</v>
      </c>
      <c r="AC53" s="155">
        <f t="shared" si="58"/>
        <v>171</v>
      </c>
      <c r="AD53" s="155">
        <f t="shared" si="58"/>
        <v>6</v>
      </c>
      <c r="AE53" s="155">
        <f t="shared" si="58"/>
        <v>5</v>
      </c>
      <c r="AF53" s="155">
        <f t="shared" si="57"/>
        <v>2807</v>
      </c>
      <c r="AG53" s="155">
        <f t="shared" si="57"/>
        <v>90</v>
      </c>
      <c r="AH53" s="155">
        <f t="shared" si="57"/>
        <v>82</v>
      </c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</row>
    <row r="54" spans="1:34" s="202" customFormat="1" ht="12.75">
      <c r="A54" s="168">
        <v>2015</v>
      </c>
      <c r="B54" s="177">
        <f t="shared" si="44"/>
        <v>86</v>
      </c>
      <c r="C54" s="169">
        <f t="shared" si="45"/>
        <v>1393</v>
      </c>
      <c r="D54" s="155">
        <f>29+16+22+18</f>
        <v>85</v>
      </c>
      <c r="E54" s="155">
        <f>0+0+0</f>
        <v>0</v>
      </c>
      <c r="F54" s="155">
        <f>0+1+0</f>
        <v>1</v>
      </c>
      <c r="G54" s="155">
        <f aca="true" t="shared" si="60" ref="G54:I55">G53+D54</f>
        <v>1303</v>
      </c>
      <c r="H54" s="155">
        <f t="shared" si="60"/>
        <v>26</v>
      </c>
      <c r="I54" s="233">
        <f t="shared" si="60"/>
        <v>63</v>
      </c>
      <c r="J54" s="177">
        <f t="shared" si="47"/>
        <v>0</v>
      </c>
      <c r="K54" s="169"/>
      <c r="L54" s="150"/>
      <c r="M54" s="150">
        <f t="shared" si="42"/>
        <v>0</v>
      </c>
      <c r="N54" s="150">
        <f>0</f>
        <v>0</v>
      </c>
      <c r="O54" s="155">
        <f t="shared" si="48"/>
        <v>125</v>
      </c>
      <c r="P54" s="155"/>
      <c r="Q54" s="233">
        <f t="shared" si="49"/>
        <v>2</v>
      </c>
      <c r="R54" s="234"/>
      <c r="S54" s="177">
        <f t="shared" si="50"/>
        <v>94</v>
      </c>
      <c r="T54" s="169">
        <f t="shared" si="51"/>
        <v>1639</v>
      </c>
      <c r="U54" s="150">
        <f>28+21+22+20</f>
        <v>91</v>
      </c>
      <c r="V54" s="150">
        <f>1+0+1</f>
        <v>2</v>
      </c>
      <c r="W54" s="150">
        <f>0+0+1+0</f>
        <v>1</v>
      </c>
      <c r="X54" s="155">
        <f aca="true" t="shared" si="61" ref="X54:Z55">X53+U54</f>
        <v>1555</v>
      </c>
      <c r="Y54" s="169">
        <f t="shared" si="61"/>
        <v>66</v>
      </c>
      <c r="Z54" s="180">
        <f t="shared" si="61"/>
        <v>18</v>
      </c>
      <c r="AA54" s="177">
        <f t="shared" si="58"/>
        <v>180</v>
      </c>
      <c r="AB54" s="169">
        <f t="shared" si="59"/>
        <v>3032</v>
      </c>
      <c r="AC54" s="155">
        <f t="shared" si="58"/>
        <v>176</v>
      </c>
      <c r="AD54" s="155">
        <f t="shared" si="58"/>
        <v>2</v>
      </c>
      <c r="AE54" s="155">
        <f t="shared" si="58"/>
        <v>2</v>
      </c>
      <c r="AF54" s="155">
        <f aca="true" t="shared" si="62" ref="AF54:AH55">AF53+AC54</f>
        <v>2983</v>
      </c>
      <c r="AG54" s="155">
        <f t="shared" si="62"/>
        <v>92</v>
      </c>
      <c r="AH54" s="155">
        <f t="shared" si="62"/>
        <v>84</v>
      </c>
    </row>
    <row r="55" spans="1:34" s="248" customFormat="1" ht="12.75">
      <c r="A55" s="164">
        <v>2016</v>
      </c>
      <c r="B55" s="188">
        <f t="shared" si="44"/>
        <v>93</v>
      </c>
      <c r="C55" s="189">
        <f t="shared" si="45"/>
        <v>1486</v>
      </c>
      <c r="D55" s="163">
        <f>25+22+19+26</f>
        <v>92</v>
      </c>
      <c r="E55" s="163">
        <f>0+1+0</f>
        <v>1</v>
      </c>
      <c r="F55" s="163">
        <f>0</f>
        <v>0</v>
      </c>
      <c r="G55" s="163">
        <f t="shared" si="60"/>
        <v>1395</v>
      </c>
      <c r="H55" s="163">
        <f t="shared" si="60"/>
        <v>27</v>
      </c>
      <c r="I55" s="253">
        <f t="shared" si="60"/>
        <v>63</v>
      </c>
      <c r="J55" s="188">
        <f t="shared" si="47"/>
        <v>0</v>
      </c>
      <c r="K55" s="189"/>
      <c r="L55" s="223"/>
      <c r="M55" s="223">
        <f t="shared" si="42"/>
        <v>0</v>
      </c>
      <c r="N55" s="223">
        <f>0</f>
        <v>0</v>
      </c>
      <c r="O55" s="163">
        <f t="shared" si="48"/>
        <v>125</v>
      </c>
      <c r="P55" s="163"/>
      <c r="Q55" s="253">
        <f t="shared" si="49"/>
        <v>2</v>
      </c>
      <c r="R55" s="254"/>
      <c r="S55" s="188">
        <f t="shared" si="50"/>
        <v>106</v>
      </c>
      <c r="T55" s="189">
        <f t="shared" si="51"/>
        <v>1745</v>
      </c>
      <c r="U55" s="223">
        <f>26+26+30+23</f>
        <v>105</v>
      </c>
      <c r="V55" s="223">
        <f>0+0+0+1</f>
        <v>1</v>
      </c>
      <c r="W55" s="223">
        <f>0</f>
        <v>0</v>
      </c>
      <c r="X55" s="163">
        <f t="shared" si="61"/>
        <v>1660</v>
      </c>
      <c r="Y55" s="189">
        <f t="shared" si="61"/>
        <v>67</v>
      </c>
      <c r="Z55" s="249">
        <f t="shared" si="61"/>
        <v>18</v>
      </c>
      <c r="AA55" s="188">
        <f>B55+J55+S55</f>
        <v>199</v>
      </c>
      <c r="AB55" s="189">
        <f t="shared" si="59"/>
        <v>3231</v>
      </c>
      <c r="AC55" s="163">
        <f aca="true" t="shared" si="63" ref="AC55:AE56">D55+L55+U55</f>
        <v>197</v>
      </c>
      <c r="AD55" s="163">
        <f t="shared" si="63"/>
        <v>2</v>
      </c>
      <c r="AE55" s="163">
        <f t="shared" si="63"/>
        <v>0</v>
      </c>
      <c r="AF55" s="163">
        <f t="shared" si="62"/>
        <v>3180</v>
      </c>
      <c r="AG55" s="163">
        <f t="shared" si="62"/>
        <v>94</v>
      </c>
      <c r="AH55" s="163">
        <f t="shared" si="62"/>
        <v>84</v>
      </c>
    </row>
    <row r="56" spans="1:34" s="211" customFormat="1" ht="12.75">
      <c r="A56" s="164">
        <v>2017</v>
      </c>
      <c r="B56" s="177">
        <f>D56+E56+F56</f>
        <v>87</v>
      </c>
      <c r="C56" s="169">
        <f>C55+B56</f>
        <v>1573</v>
      </c>
      <c r="D56" s="155">
        <f>21+19+19+24</f>
        <v>83</v>
      </c>
      <c r="E56" s="155">
        <f>1+2+0+0</f>
        <v>3</v>
      </c>
      <c r="F56" s="155">
        <f>0+0+0+1</f>
        <v>1</v>
      </c>
      <c r="G56" s="155">
        <f aca="true" t="shared" si="64" ref="G56:I57">G55+D56</f>
        <v>1478</v>
      </c>
      <c r="H56" s="155">
        <f t="shared" si="64"/>
        <v>30</v>
      </c>
      <c r="I56" s="233">
        <f t="shared" si="64"/>
        <v>64</v>
      </c>
      <c r="J56" s="177">
        <f>L56+M56+N56</f>
        <v>0</v>
      </c>
      <c r="K56" s="169"/>
      <c r="L56" s="150"/>
      <c r="M56" s="150">
        <f t="shared" si="42"/>
        <v>0</v>
      </c>
      <c r="N56" s="150">
        <f>0</f>
        <v>0</v>
      </c>
      <c r="O56" s="155">
        <f>O55+L56</f>
        <v>125</v>
      </c>
      <c r="P56" s="155"/>
      <c r="Q56" s="233">
        <f>Q55+N56</f>
        <v>2</v>
      </c>
      <c r="R56" s="234"/>
      <c r="S56" s="177">
        <f>U56+V56+W56</f>
        <v>94</v>
      </c>
      <c r="T56" s="169">
        <f>T55+S56</f>
        <v>1839</v>
      </c>
      <c r="U56" s="150">
        <f>19+29+26+19</f>
        <v>93</v>
      </c>
      <c r="V56" s="150">
        <f>0+0+0</f>
        <v>0</v>
      </c>
      <c r="W56" s="150">
        <f>1</f>
        <v>1</v>
      </c>
      <c r="X56" s="155">
        <f aca="true" t="shared" si="65" ref="X56:Z57">X55+U56</f>
        <v>1753</v>
      </c>
      <c r="Y56" s="169">
        <f t="shared" si="65"/>
        <v>67</v>
      </c>
      <c r="Z56" s="180">
        <f t="shared" si="65"/>
        <v>19</v>
      </c>
      <c r="AA56" s="177">
        <f>B56+J56+S56</f>
        <v>181</v>
      </c>
      <c r="AB56" s="169">
        <f t="shared" si="59"/>
        <v>3412</v>
      </c>
      <c r="AC56" s="155">
        <f t="shared" si="63"/>
        <v>176</v>
      </c>
      <c r="AD56" s="155">
        <f t="shared" si="63"/>
        <v>3</v>
      </c>
      <c r="AE56" s="155">
        <f t="shared" si="63"/>
        <v>2</v>
      </c>
      <c r="AF56" s="155">
        <f aca="true" t="shared" si="66" ref="AF56:AH57">AF55+AC56</f>
        <v>3356</v>
      </c>
      <c r="AG56" s="155">
        <f t="shared" si="66"/>
        <v>97</v>
      </c>
      <c r="AH56" s="155">
        <f t="shared" si="66"/>
        <v>86</v>
      </c>
    </row>
    <row r="57" spans="1:34" s="211" customFormat="1" ht="12.75">
      <c r="A57" s="164">
        <v>2018</v>
      </c>
      <c r="B57" s="197">
        <f>D57+E57+F57</f>
        <v>77</v>
      </c>
      <c r="C57" s="169">
        <f>C56+B57</f>
        <v>1650</v>
      </c>
      <c r="D57" s="155">
        <f>16+20+15+25</f>
        <v>76</v>
      </c>
      <c r="E57" s="155">
        <f>0+0+1</f>
        <v>1</v>
      </c>
      <c r="F57" s="155">
        <f>0</f>
        <v>0</v>
      </c>
      <c r="G57" s="155">
        <f t="shared" si="64"/>
        <v>1554</v>
      </c>
      <c r="H57" s="155">
        <f t="shared" si="64"/>
        <v>31</v>
      </c>
      <c r="I57" s="233">
        <f t="shared" si="64"/>
        <v>64</v>
      </c>
      <c r="J57" s="197">
        <f>L57+M57+N57</f>
        <v>0</v>
      </c>
      <c r="K57" s="194"/>
      <c r="L57" s="150"/>
      <c r="M57" s="150">
        <f t="shared" si="42"/>
        <v>0</v>
      </c>
      <c r="N57" s="150">
        <f>0</f>
        <v>0</v>
      </c>
      <c r="O57" s="155">
        <f>O56+L57</f>
        <v>125</v>
      </c>
      <c r="P57" s="155"/>
      <c r="Q57" s="233">
        <f>Q56+N57</f>
        <v>2</v>
      </c>
      <c r="R57" s="234"/>
      <c r="S57" s="177">
        <f>U57+V57+W57</f>
        <v>86</v>
      </c>
      <c r="T57" s="169">
        <f>T56+S57</f>
        <v>1925</v>
      </c>
      <c r="U57" s="150">
        <f>17+15+29+25</f>
        <v>86</v>
      </c>
      <c r="V57" s="150">
        <f>0</f>
        <v>0</v>
      </c>
      <c r="W57" s="150">
        <f>0</f>
        <v>0</v>
      </c>
      <c r="X57" s="155">
        <f t="shared" si="65"/>
        <v>1839</v>
      </c>
      <c r="Y57" s="169">
        <f t="shared" si="65"/>
        <v>67</v>
      </c>
      <c r="Z57" s="180">
        <f t="shared" si="65"/>
        <v>19</v>
      </c>
      <c r="AA57" s="177">
        <f>B57+J57+S57</f>
        <v>163</v>
      </c>
      <c r="AB57" s="169">
        <f t="shared" si="59"/>
        <v>3575</v>
      </c>
      <c r="AC57" s="155">
        <f aca="true" t="shared" si="67" ref="AC57:AE58">D57+L57+U57</f>
        <v>162</v>
      </c>
      <c r="AD57" s="155">
        <f t="shared" si="67"/>
        <v>1</v>
      </c>
      <c r="AE57" s="155">
        <f t="shared" si="67"/>
        <v>0</v>
      </c>
      <c r="AF57" s="155">
        <f t="shared" si="66"/>
        <v>3518</v>
      </c>
      <c r="AG57" s="155">
        <f t="shared" si="66"/>
        <v>98</v>
      </c>
      <c r="AH57" s="155">
        <f t="shared" si="66"/>
        <v>86</v>
      </c>
    </row>
    <row r="58" spans="1:34" s="202" customFormat="1" ht="12.75">
      <c r="A58" s="164">
        <v>2019</v>
      </c>
      <c r="B58" s="177">
        <f>D58+E58+F58</f>
        <v>88</v>
      </c>
      <c r="C58" s="169">
        <f>C57+B58</f>
        <v>1738</v>
      </c>
      <c r="D58" s="155">
        <f>17+26+18+26</f>
        <v>87</v>
      </c>
      <c r="E58" s="155">
        <f>0+0+1</f>
        <v>1</v>
      </c>
      <c r="F58" s="155">
        <f>0</f>
        <v>0</v>
      </c>
      <c r="G58" s="155">
        <f aca="true" t="shared" si="68" ref="G58:I59">G57+D58</f>
        <v>1641</v>
      </c>
      <c r="H58" s="155">
        <f t="shared" si="68"/>
        <v>32</v>
      </c>
      <c r="I58" s="233">
        <f t="shared" si="68"/>
        <v>64</v>
      </c>
      <c r="J58" s="177">
        <f>L58+M58+N58</f>
        <v>0</v>
      </c>
      <c r="K58" s="169"/>
      <c r="L58" s="150"/>
      <c r="M58" s="150">
        <f t="shared" si="42"/>
        <v>0</v>
      </c>
      <c r="N58" s="150">
        <f>0</f>
        <v>0</v>
      </c>
      <c r="O58" s="155">
        <f>O57+L58</f>
        <v>125</v>
      </c>
      <c r="P58" s="155"/>
      <c r="Q58" s="233">
        <f>Q57+N58</f>
        <v>2</v>
      </c>
      <c r="R58" s="234"/>
      <c r="S58" s="177">
        <f>U58+V58+W58</f>
        <v>95</v>
      </c>
      <c r="T58" s="169">
        <f>T57+S58</f>
        <v>2020</v>
      </c>
      <c r="U58" s="150">
        <f>27+23+13+30</f>
        <v>93</v>
      </c>
      <c r="V58" s="150">
        <f>0+2+0</f>
        <v>2</v>
      </c>
      <c r="W58" s="150">
        <f>0</f>
        <v>0</v>
      </c>
      <c r="X58" s="155">
        <f aca="true" t="shared" si="69" ref="X58:Z59">X57+U58</f>
        <v>1932</v>
      </c>
      <c r="Y58" s="169">
        <f t="shared" si="69"/>
        <v>69</v>
      </c>
      <c r="Z58" s="180">
        <f t="shared" si="69"/>
        <v>19</v>
      </c>
      <c r="AA58" s="177">
        <f>B58+J58+S58</f>
        <v>183</v>
      </c>
      <c r="AB58" s="169">
        <f t="shared" si="59"/>
        <v>3758</v>
      </c>
      <c r="AC58" s="155">
        <f t="shared" si="67"/>
        <v>180</v>
      </c>
      <c r="AD58" s="155">
        <f t="shared" si="67"/>
        <v>3</v>
      </c>
      <c r="AE58" s="155">
        <f t="shared" si="67"/>
        <v>0</v>
      </c>
      <c r="AF58" s="155">
        <f aca="true" t="shared" si="70" ref="AF58:AH59">AF57+AC58</f>
        <v>3698</v>
      </c>
      <c r="AG58" s="155">
        <f t="shared" si="70"/>
        <v>101</v>
      </c>
      <c r="AH58" s="155">
        <f t="shared" si="70"/>
        <v>86</v>
      </c>
    </row>
    <row r="59" spans="1:34" s="211" customFormat="1" ht="12.75">
      <c r="A59" s="244">
        <v>2020</v>
      </c>
      <c r="B59" s="197">
        <f>D59+E59+F59</f>
        <v>31</v>
      </c>
      <c r="C59" s="194">
        <f>C58+B59</f>
        <v>1769</v>
      </c>
      <c r="D59" s="196">
        <f>31</f>
        <v>31</v>
      </c>
      <c r="E59" s="196">
        <f>0</f>
        <v>0</v>
      </c>
      <c r="F59" s="196">
        <f>0</f>
        <v>0</v>
      </c>
      <c r="G59" s="196">
        <f t="shared" si="68"/>
        <v>1672</v>
      </c>
      <c r="H59" s="196">
        <f t="shared" si="68"/>
        <v>32</v>
      </c>
      <c r="I59" s="204">
        <f t="shared" si="68"/>
        <v>64</v>
      </c>
      <c r="J59" s="197">
        <f>L59+M59+N59</f>
        <v>0</v>
      </c>
      <c r="K59" s="194"/>
      <c r="L59" s="195"/>
      <c r="M59" s="195">
        <f t="shared" si="42"/>
        <v>0</v>
      </c>
      <c r="N59" s="195">
        <f>0</f>
        <v>0</v>
      </c>
      <c r="O59" s="196">
        <f>O58+L59</f>
        <v>125</v>
      </c>
      <c r="P59" s="196"/>
      <c r="Q59" s="204">
        <f>Q58+N59</f>
        <v>2</v>
      </c>
      <c r="R59" s="210"/>
      <c r="S59" s="197">
        <f>U59+V59+W59</f>
        <v>17</v>
      </c>
      <c r="T59" s="194">
        <f>T58+S59</f>
        <v>2037</v>
      </c>
      <c r="U59" s="195">
        <f>17</f>
        <v>17</v>
      </c>
      <c r="V59" s="195">
        <f>0</f>
        <v>0</v>
      </c>
      <c r="W59" s="195">
        <f>0</f>
        <v>0</v>
      </c>
      <c r="X59" s="196">
        <f t="shared" si="69"/>
        <v>1949</v>
      </c>
      <c r="Y59" s="194">
        <f t="shared" si="69"/>
        <v>69</v>
      </c>
      <c r="Z59" s="198">
        <f t="shared" si="69"/>
        <v>19</v>
      </c>
      <c r="AA59" s="197">
        <f>B59+J59+S59</f>
        <v>48</v>
      </c>
      <c r="AB59" s="194">
        <f>C59+K59+T59</f>
        <v>3806</v>
      </c>
      <c r="AC59" s="196">
        <f>D59+L59+U59</f>
        <v>48</v>
      </c>
      <c r="AD59" s="196">
        <f>E59+M59+V59</f>
        <v>0</v>
      </c>
      <c r="AE59" s="196">
        <f>F59+N59+W59</f>
        <v>0</v>
      </c>
      <c r="AF59" s="196">
        <f t="shared" si="70"/>
        <v>3746</v>
      </c>
      <c r="AG59" s="196">
        <f t="shared" si="70"/>
        <v>101</v>
      </c>
      <c r="AH59" s="196">
        <f t="shared" si="70"/>
        <v>86</v>
      </c>
    </row>
    <row r="60" spans="1:72" ht="12.75">
      <c r="A60" s="17"/>
      <c r="B60" s="8"/>
      <c r="C60" s="11"/>
      <c r="D60" s="11"/>
      <c r="E60" s="11"/>
      <c r="F60" s="11"/>
      <c r="G60" s="11"/>
      <c r="H60" s="10"/>
      <c r="I60" s="40"/>
      <c r="J60" s="54"/>
      <c r="K60" s="51"/>
      <c r="L60" s="51"/>
      <c r="M60" s="51"/>
      <c r="N60" s="51"/>
      <c r="O60" s="51"/>
      <c r="P60" s="55"/>
      <c r="Q60" s="10"/>
      <c r="R60" s="25"/>
      <c r="S60" s="54"/>
      <c r="T60" s="51"/>
      <c r="U60" s="51"/>
      <c r="V60" s="51"/>
      <c r="W60" s="51"/>
      <c r="X60" s="51"/>
      <c r="Y60" s="55"/>
      <c r="Z60" s="56"/>
      <c r="AA60" s="54"/>
      <c r="AB60" s="51"/>
      <c r="AC60" s="51"/>
      <c r="AD60" s="51"/>
      <c r="AE60" s="51"/>
      <c r="AF60" s="51"/>
      <c r="AG60" s="51"/>
      <c r="AH60" s="51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</row>
    <row r="61" spans="1:72" ht="12.75">
      <c r="A61" s="17"/>
      <c r="B61" s="8"/>
      <c r="C61" s="11"/>
      <c r="D61" s="11"/>
      <c r="E61" s="11"/>
      <c r="F61" s="11"/>
      <c r="G61" s="11"/>
      <c r="H61" s="10"/>
      <c r="I61" s="40"/>
      <c r="J61" s="54"/>
      <c r="K61" s="51"/>
      <c r="L61" s="51"/>
      <c r="M61" s="51"/>
      <c r="N61" s="51"/>
      <c r="O61" s="51"/>
      <c r="P61" s="55"/>
      <c r="Q61" s="10"/>
      <c r="R61" s="25"/>
      <c r="S61" s="54"/>
      <c r="T61" s="51"/>
      <c r="U61" s="51"/>
      <c r="V61" s="51"/>
      <c r="W61" s="51"/>
      <c r="X61" s="51"/>
      <c r="Y61" s="55"/>
      <c r="Z61" s="56"/>
      <c r="AA61" s="54"/>
      <c r="AB61" s="51"/>
      <c r="AC61" s="51"/>
      <c r="AD61" s="51"/>
      <c r="AE61" s="51"/>
      <c r="AF61" s="51"/>
      <c r="AG61" s="51"/>
      <c r="AH61" s="51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</row>
    <row r="62" spans="1:72" ht="12.75">
      <c r="A62" s="17"/>
      <c r="B62" s="8"/>
      <c r="C62" s="11"/>
      <c r="D62" s="11"/>
      <c r="E62" s="11"/>
      <c r="F62" s="11"/>
      <c r="G62" s="11"/>
      <c r="H62" s="10"/>
      <c r="I62" s="40"/>
      <c r="J62" s="54"/>
      <c r="K62" s="51"/>
      <c r="L62" s="51"/>
      <c r="M62" s="51"/>
      <c r="N62" s="51"/>
      <c r="O62" s="51"/>
      <c r="P62" s="55"/>
      <c r="Q62" s="10"/>
      <c r="R62" s="25"/>
      <c r="S62" s="54"/>
      <c r="T62" s="51"/>
      <c r="U62" s="51"/>
      <c r="V62" s="51"/>
      <c r="W62" s="51"/>
      <c r="X62" s="51"/>
      <c r="Y62" s="55"/>
      <c r="Z62" s="56"/>
      <c r="AA62" s="54"/>
      <c r="AB62" s="51"/>
      <c r="AC62" s="51"/>
      <c r="AD62" s="51"/>
      <c r="AE62" s="51"/>
      <c r="AF62" s="51"/>
      <c r="AG62" s="51"/>
      <c r="AH62" s="51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</row>
    <row r="63" spans="1:72" ht="12.75">
      <c r="A63" s="17"/>
      <c r="B63" s="8"/>
      <c r="C63" s="11"/>
      <c r="D63" s="11"/>
      <c r="E63" s="11"/>
      <c r="F63" s="11"/>
      <c r="G63" s="11"/>
      <c r="H63" s="10"/>
      <c r="I63" s="40"/>
      <c r="J63" s="54"/>
      <c r="K63" s="51"/>
      <c r="L63" s="51"/>
      <c r="M63" s="51"/>
      <c r="N63" s="51"/>
      <c r="O63" s="51"/>
      <c r="P63" s="55"/>
      <c r="Q63" s="10"/>
      <c r="R63" s="25"/>
      <c r="S63" s="54"/>
      <c r="T63" s="51"/>
      <c r="U63" s="51"/>
      <c r="V63" s="51"/>
      <c r="W63" s="51"/>
      <c r="X63" s="51"/>
      <c r="Y63" s="55"/>
      <c r="Z63" s="56"/>
      <c r="AA63" s="54"/>
      <c r="AB63" s="51"/>
      <c r="AC63" s="51"/>
      <c r="AD63" s="51"/>
      <c r="AE63" s="51"/>
      <c r="AF63" s="51"/>
      <c r="AG63" s="51"/>
      <c r="AH63" s="51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</row>
    <row r="64" spans="1:72" ht="12.75">
      <c r="A64" s="17"/>
      <c r="B64" s="8"/>
      <c r="C64" s="11"/>
      <c r="D64" s="11"/>
      <c r="E64" s="11"/>
      <c r="F64" s="11"/>
      <c r="G64" s="11"/>
      <c r="H64" s="10"/>
      <c r="I64" s="40"/>
      <c r="J64" s="54"/>
      <c r="K64" s="51"/>
      <c r="L64" s="51"/>
      <c r="M64" s="51"/>
      <c r="N64" s="51"/>
      <c r="O64" s="51"/>
      <c r="P64" s="55"/>
      <c r="Q64" s="10"/>
      <c r="R64" s="25"/>
      <c r="S64" s="54"/>
      <c r="T64" s="51"/>
      <c r="U64" s="51"/>
      <c r="V64" s="51"/>
      <c r="W64" s="51"/>
      <c r="X64" s="51"/>
      <c r="Y64" s="55"/>
      <c r="Z64" s="56"/>
      <c r="AA64" s="54"/>
      <c r="AB64" s="51"/>
      <c r="AC64" s="51"/>
      <c r="AD64" s="51"/>
      <c r="AE64" s="51"/>
      <c r="AF64" s="51"/>
      <c r="AG64" s="51"/>
      <c r="AH64" s="51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</row>
    <row r="65" spans="1:72" ht="12.75">
      <c r="A65" s="17"/>
      <c r="B65" s="8"/>
      <c r="C65" s="11"/>
      <c r="D65" s="11"/>
      <c r="E65" s="11"/>
      <c r="F65" s="11"/>
      <c r="G65" s="11"/>
      <c r="H65" s="10"/>
      <c r="I65" s="40"/>
      <c r="J65" s="54"/>
      <c r="K65" s="51"/>
      <c r="L65" s="51"/>
      <c r="M65" s="51"/>
      <c r="N65" s="51"/>
      <c r="O65" s="51"/>
      <c r="P65" s="55"/>
      <c r="Q65" s="10"/>
      <c r="R65" s="25"/>
      <c r="S65" s="54"/>
      <c r="T65" s="51"/>
      <c r="U65" s="51"/>
      <c r="V65" s="51"/>
      <c r="W65" s="51"/>
      <c r="X65" s="51"/>
      <c r="Y65" s="55"/>
      <c r="Z65" s="56"/>
      <c r="AA65" s="54"/>
      <c r="AB65" s="51"/>
      <c r="AC65" s="51"/>
      <c r="AD65" s="51"/>
      <c r="AE65" s="51"/>
      <c r="AF65" s="51"/>
      <c r="AG65" s="51"/>
      <c r="AH65" s="51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</row>
    <row r="66" spans="1:72" ht="12.75">
      <c r="A66" s="17"/>
      <c r="B66" s="8"/>
      <c r="C66" s="11"/>
      <c r="D66" s="11"/>
      <c r="E66" s="11"/>
      <c r="F66" s="11"/>
      <c r="G66" s="11"/>
      <c r="H66" s="10"/>
      <c r="I66" s="40"/>
      <c r="J66" s="54"/>
      <c r="K66" s="51"/>
      <c r="L66" s="51"/>
      <c r="M66" s="51"/>
      <c r="N66" s="51"/>
      <c r="O66" s="51"/>
      <c r="P66" s="55"/>
      <c r="Q66" s="10"/>
      <c r="R66" s="25"/>
      <c r="S66" s="54"/>
      <c r="T66" s="51"/>
      <c r="U66" s="51"/>
      <c r="V66" s="51"/>
      <c r="W66" s="51"/>
      <c r="X66" s="51"/>
      <c r="Y66" s="55"/>
      <c r="Z66" s="56"/>
      <c r="AA66" s="54"/>
      <c r="AB66" s="51"/>
      <c r="AC66" s="51"/>
      <c r="AD66" s="51"/>
      <c r="AE66" s="51"/>
      <c r="AF66" s="51"/>
      <c r="AG66" s="51"/>
      <c r="AH66" s="51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</row>
    <row r="67" spans="1:72" ht="12.75">
      <c r="A67" s="17"/>
      <c r="B67" s="8"/>
      <c r="C67" s="11"/>
      <c r="D67" s="11"/>
      <c r="E67" s="11"/>
      <c r="F67" s="11"/>
      <c r="G67" s="11"/>
      <c r="H67" s="10"/>
      <c r="I67" s="40"/>
      <c r="J67" s="54"/>
      <c r="K67" s="51"/>
      <c r="L67" s="51"/>
      <c r="M67" s="51"/>
      <c r="N67" s="51"/>
      <c r="O67" s="51"/>
      <c r="P67" s="55"/>
      <c r="Q67" s="10"/>
      <c r="R67" s="25"/>
      <c r="S67" s="54"/>
      <c r="T67" s="51"/>
      <c r="U67" s="51"/>
      <c r="V67" s="51"/>
      <c r="W67" s="51"/>
      <c r="X67" s="51"/>
      <c r="Y67" s="55"/>
      <c r="Z67" s="56"/>
      <c r="AA67" s="54"/>
      <c r="AB67" s="51"/>
      <c r="AC67" s="51"/>
      <c r="AD67" s="51"/>
      <c r="AE67" s="51"/>
      <c r="AF67" s="51"/>
      <c r="AG67" s="51"/>
      <c r="AH67" s="51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</row>
    <row r="68" spans="1:72" ht="12.75">
      <c r="A68" s="17"/>
      <c r="B68" s="8"/>
      <c r="C68" s="11"/>
      <c r="D68" s="11"/>
      <c r="E68" s="11"/>
      <c r="F68" s="11"/>
      <c r="G68" s="11"/>
      <c r="H68" s="10"/>
      <c r="I68" s="40"/>
      <c r="J68" s="54"/>
      <c r="K68" s="51"/>
      <c r="L68" s="51"/>
      <c r="M68" s="51"/>
      <c r="N68" s="51"/>
      <c r="O68" s="51"/>
      <c r="P68" s="55"/>
      <c r="Q68" s="10"/>
      <c r="R68" s="25"/>
      <c r="S68" s="54"/>
      <c r="T68" s="51"/>
      <c r="U68" s="51"/>
      <c r="V68" s="51"/>
      <c r="W68" s="51"/>
      <c r="X68" s="51"/>
      <c r="Y68" s="55"/>
      <c r="Z68" s="56"/>
      <c r="AA68" s="54"/>
      <c r="AB68" s="51"/>
      <c r="AC68" s="51"/>
      <c r="AD68" s="51"/>
      <c r="AE68" s="51"/>
      <c r="AF68" s="51"/>
      <c r="AG68" s="51"/>
      <c r="AH68" s="51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</row>
    <row r="69" spans="1:72" ht="12.75">
      <c r="A69" s="17"/>
      <c r="B69" s="8"/>
      <c r="C69" s="11"/>
      <c r="D69" s="11"/>
      <c r="E69" s="11"/>
      <c r="F69" s="11"/>
      <c r="G69" s="11"/>
      <c r="H69" s="10"/>
      <c r="I69" s="40"/>
      <c r="J69" s="54"/>
      <c r="K69" s="51"/>
      <c r="L69" s="51"/>
      <c r="M69" s="51"/>
      <c r="N69" s="51"/>
      <c r="O69" s="51"/>
      <c r="P69" s="55"/>
      <c r="Q69" s="10"/>
      <c r="R69" s="25"/>
      <c r="S69" s="54"/>
      <c r="T69" s="51"/>
      <c r="U69" s="51"/>
      <c r="V69" s="51"/>
      <c r="W69" s="51"/>
      <c r="X69" s="51"/>
      <c r="Y69" s="55"/>
      <c r="Z69" s="56"/>
      <c r="AA69" s="54"/>
      <c r="AB69" s="51"/>
      <c r="AC69" s="51"/>
      <c r="AD69" s="51"/>
      <c r="AE69" s="51"/>
      <c r="AF69" s="51"/>
      <c r="AG69" s="51"/>
      <c r="AH69" s="51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</row>
    <row r="70" spans="1:72" ht="12.75">
      <c r="A70" s="17"/>
      <c r="B70" s="8"/>
      <c r="C70" s="11"/>
      <c r="D70" s="11"/>
      <c r="E70" s="11"/>
      <c r="F70" s="11"/>
      <c r="G70" s="11"/>
      <c r="H70" s="10"/>
      <c r="I70" s="40"/>
      <c r="J70" s="54"/>
      <c r="K70" s="51"/>
      <c r="L70" s="51"/>
      <c r="M70" s="51"/>
      <c r="N70" s="51"/>
      <c r="O70" s="51"/>
      <c r="P70" s="55"/>
      <c r="Q70" s="10"/>
      <c r="R70" s="25"/>
      <c r="S70" s="54"/>
      <c r="T70" s="51"/>
      <c r="U70" s="51"/>
      <c r="V70" s="51"/>
      <c r="W70" s="51"/>
      <c r="X70" s="51"/>
      <c r="Y70" s="55"/>
      <c r="Z70" s="56"/>
      <c r="AA70" s="54"/>
      <c r="AB70" s="51"/>
      <c r="AC70" s="51"/>
      <c r="AD70" s="51"/>
      <c r="AE70" s="51"/>
      <c r="AF70" s="51"/>
      <c r="AG70" s="51"/>
      <c r="AH70" s="51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</row>
    <row r="71" spans="1:72" ht="12.75">
      <c r="A71" s="17"/>
      <c r="B71" s="8"/>
      <c r="C71" s="11"/>
      <c r="D71" s="11"/>
      <c r="E71" s="11"/>
      <c r="F71" s="11"/>
      <c r="G71" s="11"/>
      <c r="H71" s="10"/>
      <c r="I71" s="40"/>
      <c r="J71" s="54"/>
      <c r="K71" s="51"/>
      <c r="L71" s="51"/>
      <c r="M71" s="51"/>
      <c r="N71" s="51"/>
      <c r="O71" s="51"/>
      <c r="P71" s="55"/>
      <c r="Q71" s="10"/>
      <c r="R71" s="25"/>
      <c r="S71" s="54"/>
      <c r="T71" s="51"/>
      <c r="U71" s="51"/>
      <c r="V71" s="51"/>
      <c r="W71" s="51"/>
      <c r="X71" s="51"/>
      <c r="Y71" s="55"/>
      <c r="Z71" s="56"/>
      <c r="AA71" s="54"/>
      <c r="AB71" s="51"/>
      <c r="AC71" s="51"/>
      <c r="AD71" s="51"/>
      <c r="AE71" s="51"/>
      <c r="AF71" s="51"/>
      <c r="AG71" s="51"/>
      <c r="AH71" s="51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</row>
    <row r="72" spans="1:72" ht="12.75">
      <c r="A72" s="18"/>
      <c r="B72" s="13"/>
      <c r="C72" s="15"/>
      <c r="D72" s="15"/>
      <c r="E72" s="15"/>
      <c r="F72" s="15"/>
      <c r="G72" s="15"/>
      <c r="H72" s="14"/>
      <c r="I72" s="41"/>
      <c r="J72" s="58"/>
      <c r="K72" s="52"/>
      <c r="L72" s="52"/>
      <c r="M72" s="52"/>
      <c r="N72" s="52"/>
      <c r="O72" s="52"/>
      <c r="P72" s="59"/>
      <c r="Q72" s="14"/>
      <c r="R72" s="26"/>
      <c r="S72" s="58"/>
      <c r="T72" s="52"/>
      <c r="U72" s="52"/>
      <c r="V72" s="52"/>
      <c r="W72" s="52"/>
      <c r="X72" s="52"/>
      <c r="Y72" s="59"/>
      <c r="Z72" s="60"/>
      <c r="AA72" s="58"/>
      <c r="AB72" s="52"/>
      <c r="AC72" s="52"/>
      <c r="AD72" s="52"/>
      <c r="AE72" s="52"/>
      <c r="AF72" s="52"/>
      <c r="AG72" s="52"/>
      <c r="AH72" s="52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</row>
    <row r="73" spans="2:72" ht="12.75">
      <c r="B73" s="61"/>
      <c r="C73" s="61"/>
      <c r="D73" s="61"/>
      <c r="E73" s="61"/>
      <c r="F73" s="61"/>
      <c r="G73" s="61"/>
      <c r="H73" s="61"/>
      <c r="I73" s="61"/>
      <c r="J73" s="53"/>
      <c r="K73" s="53"/>
      <c r="L73" s="53"/>
      <c r="M73" s="53"/>
      <c r="N73" s="53"/>
      <c r="O73" s="53"/>
      <c r="P73" s="53"/>
      <c r="Q73" s="61"/>
      <c r="R73" s="61"/>
      <c r="S73" s="53"/>
      <c r="T73" s="53"/>
      <c r="U73" s="53"/>
      <c r="V73" s="53"/>
      <c r="W73" s="53"/>
      <c r="X73" s="53"/>
      <c r="Y73" s="53"/>
      <c r="Z73" s="53"/>
      <c r="AA73" s="53"/>
      <c r="AC73" s="53"/>
      <c r="AD73" s="57"/>
      <c r="AE73" s="57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</row>
    <row r="74" spans="2:72" ht="12.75">
      <c r="B74" s="61"/>
      <c r="C74" s="61"/>
      <c r="D74" s="61"/>
      <c r="E74" s="61"/>
      <c r="F74" s="61"/>
      <c r="G74" s="61"/>
      <c r="H74" s="61"/>
      <c r="I74" s="61"/>
      <c r="J74" s="53"/>
      <c r="K74" s="53"/>
      <c r="L74" s="53"/>
      <c r="M74" s="53"/>
      <c r="N74" s="53"/>
      <c r="O74" s="53"/>
      <c r="P74" s="53"/>
      <c r="Q74" s="61"/>
      <c r="R74" s="61"/>
      <c r="S74" s="53"/>
      <c r="T74" s="53"/>
      <c r="U74" s="53"/>
      <c r="V74" s="53"/>
      <c r="W74" s="53"/>
      <c r="X74" s="53"/>
      <c r="Y74" s="53"/>
      <c r="Z74" s="53"/>
      <c r="AA74" s="53"/>
      <c r="AC74" s="53"/>
      <c r="AD74" s="57"/>
      <c r="AE74" s="57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</row>
    <row r="75" spans="2:72" ht="12.75">
      <c r="B75" s="61"/>
      <c r="C75" s="61"/>
      <c r="D75" s="61"/>
      <c r="E75" s="61"/>
      <c r="F75" s="61"/>
      <c r="G75" s="61"/>
      <c r="H75" s="61"/>
      <c r="I75" s="61"/>
      <c r="J75" s="53"/>
      <c r="K75" s="53"/>
      <c r="L75" s="53"/>
      <c r="M75" s="53"/>
      <c r="N75" s="53"/>
      <c r="O75" s="53"/>
      <c r="P75" s="53"/>
      <c r="Q75" s="61"/>
      <c r="R75" s="61"/>
      <c r="S75" s="53"/>
      <c r="T75" s="53"/>
      <c r="U75" s="53"/>
      <c r="V75" s="53"/>
      <c r="W75" s="53"/>
      <c r="X75" s="53"/>
      <c r="Y75" s="53"/>
      <c r="Z75" s="53"/>
      <c r="AA75" s="53"/>
      <c r="AC75" s="53"/>
      <c r="AD75" s="57"/>
      <c r="AE75" s="57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</row>
    <row r="76" spans="2:72" ht="12.75">
      <c r="B76" s="61"/>
      <c r="C76" s="61"/>
      <c r="D76" s="61"/>
      <c r="E76" s="61"/>
      <c r="F76" s="61"/>
      <c r="G76" s="61"/>
      <c r="H76" s="61"/>
      <c r="I76" s="61"/>
      <c r="J76" s="53"/>
      <c r="K76" s="53"/>
      <c r="L76" s="53"/>
      <c r="M76" s="53"/>
      <c r="N76" s="53"/>
      <c r="O76" s="53"/>
      <c r="P76" s="53"/>
      <c r="Q76" s="61"/>
      <c r="R76" s="61"/>
      <c r="S76" s="53"/>
      <c r="T76" s="53"/>
      <c r="U76" s="53"/>
      <c r="V76" s="53"/>
      <c r="W76" s="53"/>
      <c r="X76" s="53"/>
      <c r="Y76" s="53"/>
      <c r="Z76" s="53"/>
      <c r="AA76" s="53"/>
      <c r="AC76" s="53"/>
      <c r="AD76" s="57"/>
      <c r="AE76" s="57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</row>
    <row r="77" spans="2:72" ht="12.75">
      <c r="B77" s="61"/>
      <c r="C77" s="61"/>
      <c r="D77" s="61"/>
      <c r="E77" s="61"/>
      <c r="F77" s="61"/>
      <c r="G77" s="61"/>
      <c r="H77" s="61"/>
      <c r="I77" s="61"/>
      <c r="J77" s="53"/>
      <c r="K77" s="53"/>
      <c r="L77" s="53"/>
      <c r="M77" s="53"/>
      <c r="N77" s="53"/>
      <c r="O77" s="53"/>
      <c r="P77" s="53"/>
      <c r="Q77" s="61"/>
      <c r="R77" s="61"/>
      <c r="S77" s="53"/>
      <c r="T77" s="53"/>
      <c r="U77" s="53"/>
      <c r="V77" s="53"/>
      <c r="W77" s="53"/>
      <c r="X77" s="53"/>
      <c r="Y77" s="53"/>
      <c r="Z77" s="53"/>
      <c r="AA77" s="53"/>
      <c r="AC77" s="53"/>
      <c r="AD77" s="57"/>
      <c r="AE77" s="57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</row>
    <row r="78" spans="2:72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C78" s="53"/>
      <c r="AD78" s="57"/>
      <c r="AE78" s="57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</row>
    <row r="79" spans="2:72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C79" s="53"/>
      <c r="AD79" s="57"/>
      <c r="AE79" s="57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</row>
    <row r="80" spans="2:72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C80" s="53"/>
      <c r="AD80" s="57"/>
      <c r="AE80" s="57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</row>
    <row r="81" spans="2:72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C81" s="53"/>
      <c r="AD81" s="57"/>
      <c r="AE81" s="57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</row>
    <row r="82" spans="2:72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C82" s="53"/>
      <c r="AD82" s="57"/>
      <c r="AE82" s="57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</row>
    <row r="83" spans="2:72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C83" s="53"/>
      <c r="AD83" s="57"/>
      <c r="AE83" s="57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</row>
    <row r="84" spans="2:72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C84" s="53"/>
      <c r="AD84" s="57"/>
      <c r="AE84" s="57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</row>
    <row r="85" spans="2:72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C85" s="53"/>
      <c r="AD85" s="57"/>
      <c r="AE85" s="57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</row>
    <row r="86" spans="2:72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C86" s="53"/>
      <c r="AD86" s="57"/>
      <c r="AE86" s="57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</row>
    <row r="87" spans="2:72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C87" s="53"/>
      <c r="AD87" s="57"/>
      <c r="AE87" s="57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</row>
    <row r="88" spans="2:72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C88" s="53"/>
      <c r="AD88" s="57"/>
      <c r="AE88" s="57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</row>
    <row r="89" spans="2:72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C89" s="53"/>
      <c r="AD89" s="57"/>
      <c r="AE89" s="57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</row>
    <row r="90" spans="2:72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C90" s="53"/>
      <c r="AD90" s="57"/>
      <c r="AE90" s="57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</row>
    <row r="91" spans="2:72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C91" s="53"/>
      <c r="AD91" s="57"/>
      <c r="AE91" s="57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</row>
    <row r="92" spans="2:72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C92" s="53"/>
      <c r="AD92" s="57"/>
      <c r="AE92" s="57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</row>
    <row r="93" spans="2:72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C93" s="53"/>
      <c r="AD93" s="57"/>
      <c r="AE93" s="57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</row>
    <row r="94" spans="2:72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C94" s="53"/>
      <c r="AD94" s="57"/>
      <c r="AE94" s="57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</row>
    <row r="95" spans="2:72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C95" s="53"/>
      <c r="AD95" s="57"/>
      <c r="AE95" s="57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</row>
    <row r="96" spans="2:72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C96" s="53"/>
      <c r="AD96" s="57"/>
      <c r="AE96" s="57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</row>
    <row r="97" spans="2:72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C97" s="53"/>
      <c r="AD97" s="57"/>
      <c r="AE97" s="57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</row>
    <row r="98" spans="2:72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C98" s="53"/>
      <c r="AD98" s="57"/>
      <c r="AE98" s="57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</row>
    <row r="99" spans="2:72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C99" s="53"/>
      <c r="AD99" s="57"/>
      <c r="AE99" s="57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</row>
    <row r="100" spans="2:72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C100" s="53"/>
      <c r="AD100" s="57"/>
      <c r="AE100" s="57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</row>
    <row r="101" spans="2:72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C101" s="53"/>
      <c r="AD101" s="57"/>
      <c r="AE101" s="57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</row>
    <row r="102" spans="2:72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C102" s="53"/>
      <c r="AD102" s="57"/>
      <c r="AE102" s="57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</row>
    <row r="103" spans="2:72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C103" s="53"/>
      <c r="AD103" s="57"/>
      <c r="AE103" s="57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</row>
    <row r="104" spans="2:72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C104" s="53"/>
      <c r="AD104" s="57"/>
      <c r="AE104" s="57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</row>
    <row r="105" spans="2:72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C105" s="53"/>
      <c r="AD105" s="57"/>
      <c r="AE105" s="57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</row>
    <row r="106" spans="2:72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C106" s="53"/>
      <c r="AD106" s="57"/>
      <c r="AE106" s="57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</row>
    <row r="107" spans="2:72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C107" s="53"/>
      <c r="AD107" s="57"/>
      <c r="AE107" s="57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</row>
    <row r="108" spans="2:72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C108" s="53"/>
      <c r="AD108" s="57"/>
      <c r="AE108" s="57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</row>
    <row r="109" spans="2:72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C109" s="53"/>
      <c r="AD109" s="57"/>
      <c r="AE109" s="57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</row>
    <row r="110" spans="2:72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C110" s="53"/>
      <c r="AD110" s="57"/>
      <c r="AE110" s="57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</row>
    <row r="111" spans="2:72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C111" s="53"/>
      <c r="AD111" s="57"/>
      <c r="AE111" s="57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</row>
    <row r="112" spans="2:72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C112" s="53"/>
      <c r="AD112" s="57"/>
      <c r="AE112" s="57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</row>
    <row r="113" spans="2:72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C113" s="53"/>
      <c r="AD113" s="57"/>
      <c r="AE113" s="57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</row>
    <row r="114" spans="2:72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C114" s="53"/>
      <c r="AD114" s="57"/>
      <c r="AE114" s="57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</row>
    <row r="115" spans="2:72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C115" s="53"/>
      <c r="AD115" s="57"/>
      <c r="AE115" s="57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</row>
    <row r="116" spans="2:72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C116" s="53"/>
      <c r="AD116" s="57"/>
      <c r="AE116" s="57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</row>
    <row r="117" spans="2:72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C117" s="53"/>
      <c r="AD117" s="57"/>
      <c r="AE117" s="57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</row>
    <row r="118" spans="2:72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C118" s="53"/>
      <c r="AD118" s="57"/>
      <c r="AE118" s="57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</row>
    <row r="119" spans="2:72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C119" s="53"/>
      <c r="AD119" s="57"/>
      <c r="AE119" s="57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</row>
    <row r="120" spans="2:72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C120" s="53"/>
      <c r="AD120" s="57"/>
      <c r="AE120" s="57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</row>
    <row r="121" spans="2:72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C121" s="53"/>
      <c r="AD121" s="57"/>
      <c r="AE121" s="57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</row>
    <row r="122" spans="2:72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C122" s="53"/>
      <c r="AD122" s="57"/>
      <c r="AE122" s="57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</row>
    <row r="123" spans="2:72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C123" s="53"/>
      <c r="AD123" s="57"/>
      <c r="AE123" s="57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</row>
    <row r="124" spans="2:72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C124" s="53"/>
      <c r="AD124" s="57"/>
      <c r="AE124" s="57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</row>
    <row r="125" spans="2:72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C125" s="53"/>
      <c r="AD125" s="57"/>
      <c r="AE125" s="57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</row>
    <row r="126" spans="2:72" ht="12.7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C126" s="53"/>
      <c r="AD126" s="57"/>
      <c r="AE126" s="57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</row>
    <row r="127" spans="2:72" ht="12.7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C127" s="53"/>
      <c r="AD127" s="57"/>
      <c r="AE127" s="57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</row>
    <row r="128" spans="2:72" ht="12.7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C128" s="53"/>
      <c r="AD128" s="57"/>
      <c r="AE128" s="57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</row>
    <row r="129" spans="2:72" ht="12.7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C129" s="53"/>
      <c r="AD129" s="57"/>
      <c r="AE129" s="57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</row>
    <row r="130" spans="2:72" ht="12.7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C130" s="53"/>
      <c r="AD130" s="57"/>
      <c r="AE130" s="57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</row>
    <row r="131" spans="2:72" ht="12.7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C131" s="53"/>
      <c r="AD131" s="57"/>
      <c r="AE131" s="57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</row>
    <row r="132" spans="2:72" ht="12.7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C132" s="53"/>
      <c r="AD132" s="57"/>
      <c r="AE132" s="57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</row>
    <row r="133" spans="2:72" ht="12.7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C133" s="53"/>
      <c r="AD133" s="57"/>
      <c r="AE133" s="57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</row>
    <row r="134" spans="2:72" ht="12.7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C134" s="53"/>
      <c r="AD134" s="57"/>
      <c r="AE134" s="57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</row>
    <row r="135" spans="2:72" ht="12.7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C135" s="53"/>
      <c r="AD135" s="57"/>
      <c r="AE135" s="57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</row>
    <row r="136" spans="2:72" ht="12.7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C136" s="53"/>
      <c r="AD136" s="57"/>
      <c r="AE136" s="57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</row>
    <row r="137" spans="2:72" ht="12.7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C137" s="53"/>
      <c r="AD137" s="57"/>
      <c r="AE137" s="57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</row>
    <row r="138" spans="2:72" ht="12.7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C138" s="53"/>
      <c r="AD138" s="57"/>
      <c r="AE138" s="57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</row>
    <row r="139" spans="2:72" ht="12.7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C139" s="53"/>
      <c r="AD139" s="57"/>
      <c r="AE139" s="57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</row>
    <row r="140" spans="2:72" ht="12.7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C140" s="53"/>
      <c r="AD140" s="57"/>
      <c r="AE140" s="57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</row>
    <row r="141" spans="2:72" ht="12.7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C141" s="53"/>
      <c r="AD141" s="57"/>
      <c r="AE141" s="57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</row>
    <row r="142" spans="2:72" ht="12.7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C142" s="53"/>
      <c r="AD142" s="57"/>
      <c r="AE142" s="57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</row>
    <row r="143" spans="2:72" ht="12.7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C143" s="53"/>
      <c r="AD143" s="57"/>
      <c r="AE143" s="57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</row>
    <row r="144" spans="2:72" ht="12.7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C144" s="53"/>
      <c r="AD144" s="57"/>
      <c r="AE144" s="57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</row>
    <row r="145" spans="2:72" ht="12.7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C145" s="53"/>
      <c r="AD145" s="57"/>
      <c r="AE145" s="57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</row>
    <row r="146" spans="2:72" ht="12.7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C146" s="53"/>
      <c r="AD146" s="57"/>
      <c r="AE146" s="57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</row>
    <row r="147" spans="2:72" ht="12.7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C147" s="53"/>
      <c r="AD147" s="57"/>
      <c r="AE147" s="57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</row>
    <row r="148" spans="2:72" ht="12.7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C148" s="53"/>
      <c r="AD148" s="57"/>
      <c r="AE148" s="57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</row>
    <row r="149" spans="2:72" ht="12.7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C149" s="53"/>
      <c r="AD149" s="57"/>
      <c r="AE149" s="57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</row>
    <row r="150" spans="2:72" ht="12.7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C150" s="53"/>
      <c r="AD150" s="57"/>
      <c r="AE150" s="57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</row>
    <row r="151" spans="2:72" ht="12.7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C151" s="53"/>
      <c r="AD151" s="57"/>
      <c r="AE151" s="57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</row>
    <row r="152" spans="2:72" ht="12.7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C152" s="53"/>
      <c r="AD152" s="57"/>
      <c r="AE152" s="57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</row>
    <row r="153" spans="2:72" ht="12.7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C153" s="53"/>
      <c r="AD153" s="57"/>
      <c r="AE153" s="57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</row>
    <row r="154" spans="2:72" ht="12.7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C154" s="53"/>
      <c r="AD154" s="57"/>
      <c r="AE154" s="57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</row>
    <row r="155" spans="2:72" ht="12.7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C155" s="53"/>
      <c r="AD155" s="57"/>
      <c r="AE155" s="57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</row>
    <row r="156" spans="2:72" ht="12.7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C156" s="53"/>
      <c r="AD156" s="57"/>
      <c r="AE156" s="57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</row>
    <row r="157" spans="2:72" ht="12.7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C157" s="53"/>
      <c r="AD157" s="57"/>
      <c r="AE157" s="57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</row>
    <row r="158" spans="2:72" ht="12.7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C158" s="53"/>
      <c r="AD158" s="57"/>
      <c r="AE158" s="57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</row>
    <row r="159" spans="2:72" ht="12.7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C159" s="53"/>
      <c r="AD159" s="57"/>
      <c r="AE159" s="57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</row>
    <row r="160" spans="2:72" ht="12.7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C160" s="53"/>
      <c r="AD160" s="57"/>
      <c r="AE160" s="57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</row>
    <row r="161" spans="2:72" ht="12.7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C161" s="53"/>
      <c r="AD161" s="57"/>
      <c r="AE161" s="57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</row>
    <row r="162" spans="2:72" ht="12.7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C162" s="53"/>
      <c r="AD162" s="57"/>
      <c r="AE162" s="57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</row>
    <row r="163" spans="2:72" ht="12.7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C163" s="53"/>
      <c r="AD163" s="57"/>
      <c r="AE163" s="57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</row>
    <row r="164" spans="2:72" ht="12.7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C164" s="53"/>
      <c r="AD164" s="57"/>
      <c r="AE164" s="57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</row>
    <row r="165" spans="2:72" ht="12.7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C165" s="53"/>
      <c r="AD165" s="57"/>
      <c r="AE165" s="57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</row>
    <row r="166" spans="2:72" ht="12.7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C166" s="53"/>
      <c r="AD166" s="57"/>
      <c r="AE166" s="57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</row>
    <row r="167" spans="2:72" ht="12.7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C167" s="53"/>
      <c r="AD167" s="57"/>
      <c r="AE167" s="57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</row>
    <row r="168" spans="2:72" ht="12.7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C168" s="53"/>
      <c r="AD168" s="57"/>
      <c r="AE168" s="57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</row>
    <row r="169" spans="2:72" ht="12.7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C169" s="53"/>
      <c r="AD169" s="57"/>
      <c r="AE169" s="57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</row>
    <row r="170" spans="2:72" ht="12.7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C170" s="53"/>
      <c r="AD170" s="57"/>
      <c r="AE170" s="57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</row>
    <row r="171" spans="2:72" ht="12.7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C171" s="53"/>
      <c r="AD171" s="57"/>
      <c r="AE171" s="57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</row>
    <row r="172" spans="2:72" ht="12.75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C172" s="53"/>
      <c r="AD172" s="57"/>
      <c r="AE172" s="57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</row>
    <row r="173" spans="2:72" ht="12.75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C173" s="53"/>
      <c r="AD173" s="57"/>
      <c r="AE173" s="57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</row>
    <row r="174" spans="2:72" ht="12.75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C174" s="53"/>
      <c r="AD174" s="57"/>
      <c r="AE174" s="57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</row>
    <row r="175" spans="2:72" ht="12.75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C175" s="53"/>
      <c r="AD175" s="57"/>
      <c r="AE175" s="57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</row>
    <row r="176" spans="2:72" ht="12.75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C176" s="53"/>
      <c r="AD176" s="57"/>
      <c r="AE176" s="57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</row>
    <row r="177" spans="2:72" ht="12.75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C177" s="53"/>
      <c r="AD177" s="57"/>
      <c r="AE177" s="57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</row>
    <row r="178" spans="2:72" ht="12.75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C178" s="53"/>
      <c r="AD178" s="57"/>
      <c r="AE178" s="57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</row>
    <row r="179" spans="2:72" ht="12.75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C179" s="53"/>
      <c r="AD179" s="57"/>
      <c r="AE179" s="57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</row>
    <row r="180" spans="2:72" ht="12.75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C180" s="53"/>
      <c r="AD180" s="57"/>
      <c r="AE180" s="57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</row>
    <row r="181" spans="2:72" ht="12.75"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C181" s="53"/>
      <c r="AD181" s="57"/>
      <c r="AE181" s="57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</row>
    <row r="182" spans="2:72" ht="12.75"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C182" s="53"/>
      <c r="AD182" s="57"/>
      <c r="AE182" s="57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</row>
    <row r="183" spans="2:72" ht="12.75"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C183" s="53"/>
      <c r="AD183" s="57"/>
      <c r="AE183" s="57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</row>
    <row r="184" spans="2:72" ht="12.75"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C184" s="53"/>
      <c r="AD184" s="57"/>
      <c r="AE184" s="57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</row>
    <row r="185" spans="2:72" ht="12.75"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C185" s="53"/>
      <c r="AD185" s="57"/>
      <c r="AE185" s="57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</row>
    <row r="186" spans="2:72" ht="12.75"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C186" s="53"/>
      <c r="AD186" s="57"/>
      <c r="AE186" s="57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</row>
    <row r="187" spans="2:72" ht="12.75"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C187" s="53"/>
      <c r="AD187" s="57"/>
      <c r="AE187" s="57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</row>
    <row r="188" spans="2:72" ht="12.75"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C188" s="53"/>
      <c r="AD188" s="57"/>
      <c r="AE188" s="57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</row>
    <row r="189" spans="2:72" ht="12.75"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C189" s="53"/>
      <c r="AD189" s="57"/>
      <c r="AE189" s="57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</row>
    <row r="190" spans="2:72" ht="12.75"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C190" s="53"/>
      <c r="AD190" s="57"/>
      <c r="AE190" s="57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</row>
    <row r="191" spans="2:72" ht="12.75"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C191" s="53"/>
      <c r="AD191" s="57"/>
      <c r="AE191" s="57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</row>
    <row r="192" spans="2:72" ht="12.75"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C192" s="53"/>
      <c r="AD192" s="57"/>
      <c r="AE192" s="57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</row>
    <row r="193" spans="2:72" ht="12.75"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C193" s="53"/>
      <c r="AD193" s="57"/>
      <c r="AE193" s="57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</row>
    <row r="194" spans="2:72" ht="12.75"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C194" s="53"/>
      <c r="AD194" s="57"/>
      <c r="AE194" s="57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</row>
    <row r="195" spans="2:72" ht="12.75"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C195" s="53"/>
      <c r="AD195" s="57"/>
      <c r="AE195" s="57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</row>
    <row r="196" spans="2:72" ht="12.75"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C196" s="53"/>
      <c r="AD196" s="57"/>
      <c r="AE196" s="57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</row>
    <row r="197" spans="2:72" ht="12.75"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C197" s="53"/>
      <c r="AD197" s="57"/>
      <c r="AE197" s="57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</row>
    <row r="198" spans="2:72" ht="12.75"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C198" s="53"/>
      <c r="AD198" s="57"/>
      <c r="AE198" s="57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</row>
    <row r="199" spans="2:72" ht="12.75"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C199" s="53"/>
      <c r="AD199" s="57"/>
      <c r="AE199" s="57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</row>
    <row r="200" spans="2:72" ht="12.75"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C200" s="53"/>
      <c r="AD200" s="57"/>
      <c r="AE200" s="57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</row>
    <row r="201" spans="2:72" ht="12.75"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C201" s="53"/>
      <c r="AD201" s="57"/>
      <c r="AE201" s="57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</row>
    <row r="202" spans="2:72" ht="12.75"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C202" s="53"/>
      <c r="AD202" s="57"/>
      <c r="AE202" s="57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</row>
    <row r="203" spans="2:72" ht="12.75"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C203" s="53"/>
      <c r="AD203" s="57"/>
      <c r="AE203" s="57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</row>
    <row r="204" spans="2:72" ht="12.75"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C204" s="53"/>
      <c r="AD204" s="57"/>
      <c r="AE204" s="57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</row>
    <row r="205" spans="2:72" ht="12.75"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C205" s="53"/>
      <c r="AD205" s="57"/>
      <c r="AE205" s="57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</row>
    <row r="206" spans="2:72" ht="12.75"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C206" s="53"/>
      <c r="AD206" s="57"/>
      <c r="AE206" s="57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</row>
    <row r="207" spans="2:72" ht="12.75"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C207" s="53"/>
      <c r="AD207" s="57"/>
      <c r="AE207" s="57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</row>
    <row r="208" spans="2:72" ht="12.75"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C208" s="53"/>
      <c r="AD208" s="57"/>
      <c r="AE208" s="57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</row>
    <row r="209" spans="2:72" ht="12.75"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C209" s="53"/>
      <c r="AD209" s="57"/>
      <c r="AE209" s="57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</row>
    <row r="210" spans="2:72" ht="12.75"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C210" s="53"/>
      <c r="AD210" s="57"/>
      <c r="AE210" s="57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</row>
    <row r="211" spans="2:72" ht="12.75"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C211" s="53"/>
      <c r="AD211" s="57"/>
      <c r="AE211" s="57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</row>
    <row r="212" spans="2:72" ht="12.75"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C212" s="53"/>
      <c r="AD212" s="57"/>
      <c r="AE212" s="57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</row>
    <row r="213" spans="2:72" ht="12.75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C213" s="53"/>
      <c r="AD213" s="57"/>
      <c r="AE213" s="57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</row>
    <row r="214" spans="2:72" ht="12.75"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C214" s="53"/>
      <c r="AD214" s="57"/>
      <c r="AE214" s="57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</row>
    <row r="215" spans="2:72" ht="12.75"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C215" s="53"/>
      <c r="AD215" s="57"/>
      <c r="AE215" s="57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</row>
    <row r="216" spans="2:72" ht="12.75"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C216" s="53"/>
      <c r="AD216" s="57"/>
      <c r="AE216" s="57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</row>
    <row r="217" spans="2:72" ht="12.75"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C217" s="53"/>
      <c r="AD217" s="57"/>
      <c r="AE217" s="57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</row>
    <row r="218" spans="2:72" ht="12.75"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C218" s="53"/>
      <c r="AD218" s="57"/>
      <c r="AE218" s="57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</row>
    <row r="219" spans="2:72" ht="12.75"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C219" s="53"/>
      <c r="AD219" s="57"/>
      <c r="AE219" s="57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</row>
    <row r="220" spans="2:72" ht="12.75"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C220" s="53"/>
      <c r="AD220" s="57"/>
      <c r="AE220" s="57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</row>
    <row r="221" spans="2:72" ht="12.75"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C221" s="53"/>
      <c r="AD221" s="57"/>
      <c r="AE221" s="57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</row>
    <row r="222" spans="2:72" ht="12.75"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C222" s="53"/>
      <c r="AD222" s="57"/>
      <c r="AE222" s="57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</row>
    <row r="223" spans="2:72" ht="12.75"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C223" s="53"/>
      <c r="AD223" s="57"/>
      <c r="AE223" s="57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</row>
    <row r="224" spans="2:72" ht="12.75"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C224" s="53"/>
      <c r="AD224" s="57"/>
      <c r="AE224" s="57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</row>
    <row r="225" spans="2:72" ht="12.75"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C225" s="53"/>
      <c r="AD225" s="57"/>
      <c r="AE225" s="57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</row>
    <row r="226" spans="30:31" ht="12.75">
      <c r="AD226" s="50"/>
      <c r="AE226" s="7"/>
    </row>
    <row r="227" spans="30:31" ht="12.75">
      <c r="AD227" s="50"/>
      <c r="AE227" s="7"/>
    </row>
    <row r="228" spans="30:31" ht="12.75">
      <c r="AD228" s="50"/>
      <c r="AE228" s="7"/>
    </row>
    <row r="229" spans="30:31" ht="12.75">
      <c r="AD229" s="50"/>
      <c r="AE229" s="7"/>
    </row>
    <row r="230" spans="30:31" ht="12.75">
      <c r="AD230" s="50"/>
      <c r="AE230" s="7"/>
    </row>
    <row r="231" spans="30:31" ht="12.75">
      <c r="AD231" s="50"/>
      <c r="AE231" s="7"/>
    </row>
    <row r="232" spans="30:31" ht="12.75">
      <c r="AD232" s="50"/>
      <c r="AE232" s="7"/>
    </row>
    <row r="233" spans="30:31" ht="12.75">
      <c r="AD233" s="50"/>
      <c r="AE233" s="7"/>
    </row>
    <row r="234" spans="30:31" ht="12.75">
      <c r="AD234" s="50"/>
      <c r="AE234" s="7"/>
    </row>
    <row r="235" spans="30:31" ht="12.75">
      <c r="AD235" s="50"/>
      <c r="AE235" s="7"/>
    </row>
    <row r="236" spans="30:31" ht="12.75">
      <c r="AD236" s="50"/>
      <c r="AE236" s="7"/>
    </row>
    <row r="237" spans="30:31" ht="12.75">
      <c r="AD237" s="50"/>
      <c r="AE237" s="7"/>
    </row>
    <row r="238" spans="30:31" ht="12.75">
      <c r="AD238" s="50"/>
      <c r="AE238" s="7"/>
    </row>
    <row r="239" spans="30:31" ht="12.75">
      <c r="AD239" s="50"/>
      <c r="AE239" s="7"/>
    </row>
    <row r="240" spans="30:31" ht="12.75">
      <c r="AD240" s="50"/>
      <c r="AE240" s="7"/>
    </row>
    <row r="241" spans="30:31" ht="12.75">
      <c r="AD241" s="50"/>
      <c r="AE241" s="7"/>
    </row>
    <row r="242" spans="30:31" ht="12.75">
      <c r="AD242" s="50"/>
      <c r="AE242" s="7"/>
    </row>
    <row r="243" spans="30:31" ht="12.75">
      <c r="AD243" s="50"/>
      <c r="AE243" s="7"/>
    </row>
    <row r="244" spans="30:31" ht="12.75">
      <c r="AD244" s="50"/>
      <c r="AE244" s="7"/>
    </row>
    <row r="245" spans="30:31" ht="12.75">
      <c r="AD245" s="50"/>
      <c r="AE245" s="7"/>
    </row>
    <row r="246" spans="30:31" ht="12.75">
      <c r="AD246" s="50"/>
      <c r="AE246" s="7"/>
    </row>
    <row r="247" spans="30:31" ht="12.75">
      <c r="AD247" s="50"/>
      <c r="AE247" s="7"/>
    </row>
    <row r="248" spans="30:31" ht="12.75">
      <c r="AD248" s="50"/>
      <c r="AE248" s="7"/>
    </row>
    <row r="249" spans="30:31" ht="12.75">
      <c r="AD249" s="50"/>
      <c r="AE249" s="7"/>
    </row>
    <row r="250" spans="30:31" ht="12.75">
      <c r="AD250" s="50"/>
      <c r="AE250" s="7"/>
    </row>
    <row r="251" spans="30:31" ht="12.75">
      <c r="AD251" s="50"/>
      <c r="AE251" s="7"/>
    </row>
    <row r="252" spans="30:31" ht="12.75">
      <c r="AD252" s="50"/>
      <c r="AE252" s="7"/>
    </row>
    <row r="253" spans="30:31" ht="12.75">
      <c r="AD253" s="50"/>
      <c r="AE253" s="7"/>
    </row>
    <row r="254" spans="30:31" ht="12.75">
      <c r="AD254" s="50"/>
      <c r="AE254" s="7"/>
    </row>
    <row r="255" spans="30:31" ht="12.75">
      <c r="AD255" s="50"/>
      <c r="AE255" s="7"/>
    </row>
    <row r="256" spans="30:31" ht="12.75">
      <c r="AD256" s="50"/>
      <c r="AE256" s="7"/>
    </row>
    <row r="257" spans="30:31" ht="12.75">
      <c r="AD257" s="50"/>
      <c r="AE257" s="7"/>
    </row>
    <row r="258" spans="30:31" ht="12.75">
      <c r="AD258" s="50"/>
      <c r="AE258" s="7"/>
    </row>
    <row r="259" spans="30:31" ht="12.75">
      <c r="AD259" s="50"/>
      <c r="AE259" s="7"/>
    </row>
    <row r="260" spans="30:31" ht="12.75">
      <c r="AD260" s="50"/>
      <c r="AE260" s="7"/>
    </row>
    <row r="261" spans="30:31" ht="12.75">
      <c r="AD261" s="50"/>
      <c r="AE261" s="7"/>
    </row>
    <row r="262" spans="30:31" ht="12.75">
      <c r="AD262" s="50"/>
      <c r="AE262" s="7"/>
    </row>
    <row r="263" spans="30:31" ht="12.75">
      <c r="AD263" s="50"/>
      <c r="AE263" s="7"/>
    </row>
    <row r="264" spans="30:31" ht="12.75">
      <c r="AD264" s="50"/>
      <c r="AE264" s="7"/>
    </row>
    <row r="265" spans="30:31" ht="12.75">
      <c r="AD265" s="50"/>
      <c r="AE265" s="7"/>
    </row>
    <row r="266" spans="30:31" ht="12.75">
      <c r="AD266" s="50"/>
      <c r="AE266" s="7"/>
    </row>
    <row r="267" spans="30:31" ht="12.75">
      <c r="AD267" s="50"/>
      <c r="AE267" s="7"/>
    </row>
    <row r="268" spans="30:31" ht="12.75">
      <c r="AD268" s="50"/>
      <c r="AE268" s="7"/>
    </row>
    <row r="269" spans="30:31" ht="12.75">
      <c r="AD269" s="50"/>
      <c r="AE269" s="7"/>
    </row>
    <row r="270" spans="30:31" ht="12.75">
      <c r="AD270" s="50"/>
      <c r="AE270" s="7"/>
    </row>
    <row r="271" spans="30:31" ht="12.75">
      <c r="AD271" s="50"/>
      <c r="AE271" s="7"/>
    </row>
    <row r="272" spans="30:31" ht="12.75">
      <c r="AD272" s="50"/>
      <c r="AE272" s="7"/>
    </row>
    <row r="273" spans="30:31" ht="12.75">
      <c r="AD273" s="50"/>
      <c r="AE273" s="7"/>
    </row>
    <row r="274" spans="30:31" ht="12.75">
      <c r="AD274" s="50"/>
      <c r="AE274" s="7"/>
    </row>
    <row r="275" spans="30:31" ht="12.75">
      <c r="AD275" s="50"/>
      <c r="AE275" s="7"/>
    </row>
    <row r="276" spans="30:31" ht="12.75">
      <c r="AD276" s="50"/>
      <c r="AE276" s="7"/>
    </row>
    <row r="277" spans="30:31" ht="12.75">
      <c r="AD277" s="50"/>
      <c r="AE277" s="7"/>
    </row>
    <row r="278" spans="30:31" ht="12.75">
      <c r="AD278" s="50"/>
      <c r="AE278" s="7"/>
    </row>
    <row r="279" spans="30:31" ht="12.75">
      <c r="AD279" s="50"/>
      <c r="AE279" s="7"/>
    </row>
    <row r="280" spans="30:31" ht="12.75">
      <c r="AD280" s="50"/>
      <c r="AE280" s="7"/>
    </row>
    <row r="281" spans="30:31" ht="12.75">
      <c r="AD281" s="50"/>
      <c r="AE281" s="7"/>
    </row>
    <row r="282" spans="30:31" ht="12.75">
      <c r="AD282" s="50"/>
      <c r="AE282" s="7"/>
    </row>
    <row r="283" spans="30:31" ht="12.75">
      <c r="AD283" s="50"/>
      <c r="AE283" s="7"/>
    </row>
    <row r="284" spans="30:31" ht="12.75">
      <c r="AD284" s="50"/>
      <c r="AE284" s="7"/>
    </row>
    <row r="285" spans="30:31" ht="12.75">
      <c r="AD285" s="50"/>
      <c r="AE285" s="7"/>
    </row>
    <row r="286" spans="30:31" ht="12.75">
      <c r="AD286" s="50"/>
      <c r="AE286" s="7"/>
    </row>
    <row r="287" spans="30:31" ht="12.75">
      <c r="AD287" s="50"/>
      <c r="AE287" s="7"/>
    </row>
    <row r="288" spans="30:31" ht="12.75">
      <c r="AD288" s="50"/>
      <c r="AE288" s="7"/>
    </row>
    <row r="289" spans="30:31" ht="12.75">
      <c r="AD289" s="50"/>
      <c r="AE289" s="7"/>
    </row>
    <row r="290" spans="30:31" ht="12.75">
      <c r="AD290" s="50"/>
      <c r="AE290" s="7"/>
    </row>
    <row r="291" spans="30:31" ht="12.75">
      <c r="AD291" s="50"/>
      <c r="AE291" s="7"/>
    </row>
    <row r="292" spans="30:31" ht="12.75">
      <c r="AD292" s="50"/>
      <c r="AE292" s="7"/>
    </row>
    <row r="293" spans="30:31" ht="12.75">
      <c r="AD293" s="50"/>
      <c r="AE293" s="7"/>
    </row>
    <row r="294" spans="30:31" ht="12.75">
      <c r="AD294" s="50"/>
      <c r="AE294" s="7"/>
    </row>
    <row r="295" spans="30:31" ht="12.75">
      <c r="AD295" s="50"/>
      <c r="AE295" s="7"/>
    </row>
    <row r="296" spans="30:31" ht="12.75">
      <c r="AD296" s="50"/>
      <c r="AE296" s="7"/>
    </row>
    <row r="297" spans="30:31" ht="12.75">
      <c r="AD297" s="50"/>
      <c r="AE297" s="7"/>
    </row>
    <row r="298" spans="30:31" ht="12.75">
      <c r="AD298" s="50"/>
      <c r="AE298" s="7"/>
    </row>
    <row r="299" spans="30:31" ht="12.75">
      <c r="AD299" s="50"/>
      <c r="AE299" s="7"/>
    </row>
    <row r="300" spans="30:31" ht="12.75">
      <c r="AD300" s="50"/>
      <c r="AE300" s="7"/>
    </row>
    <row r="301" spans="30:31" ht="12.75">
      <c r="AD301" s="50"/>
      <c r="AE301" s="7"/>
    </row>
    <row r="302" spans="30:31" ht="12.75">
      <c r="AD302" s="50"/>
      <c r="AE302" s="7"/>
    </row>
    <row r="303" spans="30:31" ht="12.75">
      <c r="AD303" s="50"/>
      <c r="AE303" s="7"/>
    </row>
    <row r="304" spans="30:31" ht="12.75">
      <c r="AD304" s="50"/>
      <c r="AE304" s="7"/>
    </row>
    <row r="305" spans="30:31" ht="12.75">
      <c r="AD305" s="50"/>
      <c r="AE305" s="7"/>
    </row>
    <row r="306" spans="30:31" ht="12.75">
      <c r="AD306" s="50"/>
      <c r="AE306" s="7"/>
    </row>
    <row r="307" spans="30:31" ht="12.75">
      <c r="AD307" s="50"/>
      <c r="AE307" s="7"/>
    </row>
    <row r="308" spans="30:31" ht="12.75">
      <c r="AD308" s="50"/>
      <c r="AE308" s="7"/>
    </row>
    <row r="309" spans="30:31" ht="12.75">
      <c r="AD309" s="50"/>
      <c r="AE309" s="7"/>
    </row>
    <row r="310" spans="30:31" ht="12.75">
      <c r="AD310" s="50"/>
      <c r="AE310" s="7"/>
    </row>
    <row r="311" spans="30:31" ht="12.75">
      <c r="AD311" s="50"/>
      <c r="AE311" s="7"/>
    </row>
    <row r="312" spans="30:31" ht="12.75">
      <c r="AD312" s="50"/>
      <c r="AE312" s="7"/>
    </row>
    <row r="313" spans="30:31" ht="12.75">
      <c r="AD313" s="50"/>
      <c r="AE313" s="7"/>
    </row>
    <row r="314" spans="30:31" ht="12.75">
      <c r="AD314" s="50"/>
      <c r="AE314" s="7"/>
    </row>
    <row r="315" spans="30:31" ht="12.75">
      <c r="AD315" s="50"/>
      <c r="AE315" s="7"/>
    </row>
    <row r="316" spans="30:31" ht="12.75">
      <c r="AD316" s="50"/>
      <c r="AE316" s="7"/>
    </row>
    <row r="317" spans="30:31" ht="12.75">
      <c r="AD317" s="50"/>
      <c r="AE317" s="7"/>
    </row>
    <row r="318" spans="30:31" ht="12.75">
      <c r="AD318" s="50"/>
      <c r="AE318" s="7"/>
    </row>
    <row r="319" spans="30:31" ht="12.75">
      <c r="AD319" s="50"/>
      <c r="AE319" s="7"/>
    </row>
    <row r="320" spans="30:31" ht="12.75">
      <c r="AD320" s="50"/>
      <c r="AE320" s="7"/>
    </row>
    <row r="321" spans="30:31" ht="12.75">
      <c r="AD321" s="50"/>
      <c r="AE321" s="7"/>
    </row>
    <row r="322" spans="30:31" ht="12.75">
      <c r="AD322" s="50"/>
      <c r="AE322" s="7"/>
    </row>
    <row r="323" spans="30:31" ht="12.75">
      <c r="AD323" s="50"/>
      <c r="AE323" s="7"/>
    </row>
    <row r="324" spans="30:31" ht="12.75">
      <c r="AD324" s="50"/>
      <c r="AE324" s="7"/>
    </row>
    <row r="325" spans="30:31" ht="12.75">
      <c r="AD325" s="50"/>
      <c r="AE325" s="7"/>
    </row>
    <row r="326" spans="30:31" ht="12.75">
      <c r="AD326" s="50"/>
      <c r="AE326" s="7"/>
    </row>
    <row r="327" spans="30:31" ht="12.75">
      <c r="AD327" s="50"/>
      <c r="AE327" s="7"/>
    </row>
    <row r="328" spans="30:31" ht="12.75">
      <c r="AD328" s="50"/>
      <c r="AE328" s="7"/>
    </row>
    <row r="329" spans="30:31" ht="12.75">
      <c r="AD329" s="50"/>
      <c r="AE329" s="7"/>
    </row>
    <row r="330" spans="30:31" ht="12.75">
      <c r="AD330" s="50"/>
      <c r="AE330" s="7"/>
    </row>
    <row r="331" spans="30:31" ht="12.75">
      <c r="AD331" s="50"/>
      <c r="AE331" s="7"/>
    </row>
    <row r="332" spans="30:31" ht="12.75">
      <c r="AD332" s="50"/>
      <c r="AE332" s="7"/>
    </row>
    <row r="333" spans="30:31" ht="12.75">
      <c r="AD333" s="50"/>
      <c r="AE333" s="7"/>
    </row>
    <row r="334" spans="30:31" ht="12.75">
      <c r="AD334" s="50"/>
      <c r="AE334" s="7"/>
    </row>
    <row r="335" spans="30:31" ht="12.75">
      <c r="AD335" s="50"/>
      <c r="AE335" s="7"/>
    </row>
    <row r="336" spans="30:31" ht="12.75">
      <c r="AD336" s="50"/>
      <c r="AE336" s="7"/>
    </row>
    <row r="337" spans="30:31" ht="12.75">
      <c r="AD337" s="50"/>
      <c r="AE337" s="7"/>
    </row>
    <row r="338" spans="30:31" ht="12.75">
      <c r="AD338" s="50"/>
      <c r="AE338" s="7"/>
    </row>
    <row r="339" spans="30:31" ht="12.75">
      <c r="AD339" s="50"/>
      <c r="AE339" s="7"/>
    </row>
  </sheetData>
  <sheetProtection/>
  <mergeCells count="4">
    <mergeCell ref="B1:I1"/>
    <mergeCell ref="J1:Q1"/>
    <mergeCell ref="S1:Z1"/>
    <mergeCell ref="AA1:AH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  <colBreaks count="1" manualBreakCount="1">
    <brk id="18" max="65535" man="1"/>
  </colBreaks>
  <ignoredErrors>
    <ignoredError sqref="M48:N4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M77"/>
  <sheetViews>
    <sheetView showGridLines="0" showZeros="0" zoomScalePageLayoutView="0" workbookViewId="0" topLeftCell="A1">
      <pane ySplit="1155" topLeftCell="A52" activePane="bottomLeft" state="split"/>
      <selection pane="topLeft" activeCell="B61" sqref="B61"/>
      <selection pane="bottomLeft" activeCell="A63" sqref="A63"/>
    </sheetView>
  </sheetViews>
  <sheetFormatPr defaultColWidth="9.140625" defaultRowHeight="12.75"/>
  <cols>
    <col min="1" max="1" width="6.28125" style="1" customWidth="1"/>
    <col min="2" max="11" width="9.7109375" style="0" customWidth="1"/>
  </cols>
  <sheetData>
    <row r="1" spans="1:13" s="6" customFormat="1" ht="20.25" customHeight="1">
      <c r="A1" s="16"/>
      <c r="B1" s="389" t="s">
        <v>4</v>
      </c>
      <c r="C1" s="386"/>
      <c r="D1" s="383" t="s">
        <v>5</v>
      </c>
      <c r="E1" s="384"/>
      <c r="F1" s="383" t="s">
        <v>6</v>
      </c>
      <c r="G1" s="386"/>
      <c r="H1" s="383" t="s">
        <v>12</v>
      </c>
      <c r="I1" s="384"/>
      <c r="J1" s="383" t="s">
        <v>8</v>
      </c>
      <c r="K1" s="385"/>
      <c r="L1" s="95"/>
      <c r="M1" s="95"/>
    </row>
    <row r="2" spans="1:13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  <c r="L2" s="96"/>
      <c r="M2" s="96"/>
    </row>
    <row r="3" spans="1:13" ht="17.25" customHeight="1" thickTop="1">
      <c r="A3" s="17">
        <v>1964</v>
      </c>
      <c r="B3" s="62"/>
      <c r="C3" s="70"/>
      <c r="D3" s="62"/>
      <c r="E3" s="70"/>
      <c r="F3" s="62"/>
      <c r="G3" s="70"/>
      <c r="H3" s="71"/>
      <c r="I3" s="70"/>
      <c r="J3" s="62"/>
      <c r="K3" s="70"/>
      <c r="L3" s="78"/>
      <c r="M3" s="78"/>
    </row>
    <row r="4" spans="1:13" ht="12.75">
      <c r="A4" s="17">
        <v>1965</v>
      </c>
      <c r="B4" s="62"/>
      <c r="C4" s="63"/>
      <c r="D4" s="62"/>
      <c r="E4" s="64"/>
      <c r="F4" s="62"/>
      <c r="G4" s="64"/>
      <c r="H4" s="62"/>
      <c r="I4" s="64"/>
      <c r="J4" s="62"/>
      <c r="K4" s="65"/>
      <c r="L4" s="78"/>
      <c r="M4" s="78"/>
    </row>
    <row r="5" spans="1:13" ht="12.75">
      <c r="A5" s="17">
        <v>1966</v>
      </c>
      <c r="B5" s="62"/>
      <c r="C5" s="63"/>
      <c r="D5" s="62"/>
      <c r="E5" s="64"/>
      <c r="F5" s="62"/>
      <c r="G5" s="64"/>
      <c r="H5" s="62"/>
      <c r="I5" s="64"/>
      <c r="J5" s="62"/>
      <c r="K5" s="65"/>
      <c r="L5" s="78"/>
      <c r="M5" s="78"/>
    </row>
    <row r="6" spans="1:13" ht="12.75">
      <c r="A6" s="17">
        <v>1967</v>
      </c>
      <c r="B6" s="62"/>
      <c r="C6" s="63"/>
      <c r="D6" s="62"/>
      <c r="E6" s="64"/>
      <c r="F6" s="62"/>
      <c r="G6" s="64"/>
      <c r="H6" s="62"/>
      <c r="I6" s="64"/>
      <c r="J6" s="62"/>
      <c r="K6" s="65"/>
      <c r="L6" s="78"/>
      <c r="M6" s="78"/>
    </row>
    <row r="7" spans="1:13" ht="12.75">
      <c r="A7" s="17">
        <v>1968</v>
      </c>
      <c r="B7" s="62"/>
      <c r="C7" s="63"/>
      <c r="D7" s="62"/>
      <c r="E7" s="64"/>
      <c r="F7" s="62"/>
      <c r="G7" s="64"/>
      <c r="H7" s="62"/>
      <c r="I7" s="64"/>
      <c r="J7" s="62"/>
      <c r="K7" s="65"/>
      <c r="L7" s="78"/>
      <c r="M7" s="78"/>
    </row>
    <row r="8" spans="1:13" ht="12.75">
      <c r="A8" s="17">
        <v>1969</v>
      </c>
      <c r="B8" s="62"/>
      <c r="C8" s="63"/>
      <c r="D8" s="62"/>
      <c r="E8" s="64"/>
      <c r="F8" s="62"/>
      <c r="G8" s="64"/>
      <c r="H8" s="62"/>
      <c r="I8" s="64"/>
      <c r="J8" s="62"/>
      <c r="K8" s="65"/>
      <c r="L8" s="78"/>
      <c r="M8" s="78"/>
    </row>
    <row r="9" spans="1:13" ht="12.75">
      <c r="A9" s="17">
        <v>1970</v>
      </c>
      <c r="B9" s="62"/>
      <c r="C9" s="63"/>
      <c r="D9" s="62"/>
      <c r="E9" s="64"/>
      <c r="F9" s="62"/>
      <c r="G9" s="64"/>
      <c r="H9" s="62"/>
      <c r="I9" s="64"/>
      <c r="J9" s="62"/>
      <c r="K9" s="65"/>
      <c r="L9" s="78"/>
      <c r="M9" s="78"/>
    </row>
    <row r="10" spans="1:13" ht="12.75">
      <c r="A10" s="17">
        <v>1971</v>
      </c>
      <c r="B10" s="62"/>
      <c r="C10" s="63"/>
      <c r="D10" s="62"/>
      <c r="E10" s="64"/>
      <c r="F10" s="62"/>
      <c r="G10" s="64"/>
      <c r="H10" s="62"/>
      <c r="I10" s="64"/>
      <c r="J10" s="62"/>
      <c r="K10" s="65"/>
      <c r="L10" s="78"/>
      <c r="M10" s="78"/>
    </row>
    <row r="11" spans="1:13" ht="12.75">
      <c r="A11" s="17">
        <v>1972</v>
      </c>
      <c r="B11" s="62"/>
      <c r="C11" s="63"/>
      <c r="D11" s="62"/>
      <c r="E11" s="64"/>
      <c r="F11" s="62"/>
      <c r="G11" s="64"/>
      <c r="H11" s="62"/>
      <c r="I11" s="64"/>
      <c r="J11" s="62"/>
      <c r="K11" s="65"/>
      <c r="L11" s="78"/>
      <c r="M11" s="78"/>
    </row>
    <row r="12" spans="1:13" ht="12.75">
      <c r="A12" s="17">
        <v>1973</v>
      </c>
      <c r="B12" s="62"/>
      <c r="C12" s="63"/>
      <c r="D12" s="62"/>
      <c r="E12" s="64"/>
      <c r="F12" s="62"/>
      <c r="G12" s="64"/>
      <c r="H12" s="62"/>
      <c r="I12" s="64"/>
      <c r="J12" s="62"/>
      <c r="K12" s="65"/>
      <c r="L12" s="78"/>
      <c r="M12" s="78"/>
    </row>
    <row r="13" spans="1:13" ht="12.75">
      <c r="A13" s="17">
        <v>1974</v>
      </c>
      <c r="B13" s="62"/>
      <c r="C13" s="63"/>
      <c r="D13" s="62"/>
      <c r="E13" s="64"/>
      <c r="F13" s="62"/>
      <c r="G13" s="64"/>
      <c r="H13" s="62"/>
      <c r="I13" s="64"/>
      <c r="J13" s="62"/>
      <c r="K13" s="65"/>
      <c r="L13" s="78"/>
      <c r="M13" s="78"/>
    </row>
    <row r="14" spans="1:13" ht="12.75">
      <c r="A14" s="17">
        <v>1975</v>
      </c>
      <c r="B14" s="62"/>
      <c r="C14" s="63"/>
      <c r="D14" s="62"/>
      <c r="E14" s="64"/>
      <c r="F14" s="62"/>
      <c r="G14" s="64"/>
      <c r="H14" s="62"/>
      <c r="I14" s="64"/>
      <c r="J14" s="62"/>
      <c r="K14" s="65"/>
      <c r="L14" s="78"/>
      <c r="M14" s="78"/>
    </row>
    <row r="15" spans="1:13" ht="12.75">
      <c r="A15" s="17">
        <v>1976</v>
      </c>
      <c r="B15" s="62"/>
      <c r="C15" s="63"/>
      <c r="D15" s="62"/>
      <c r="E15" s="64"/>
      <c r="F15" s="62"/>
      <c r="G15" s="64"/>
      <c r="H15" s="62"/>
      <c r="I15" s="64"/>
      <c r="J15" s="62"/>
      <c r="K15" s="65"/>
      <c r="L15" s="78"/>
      <c r="M15" s="78"/>
    </row>
    <row r="16" spans="1:13" ht="12.75">
      <c r="A16" s="17">
        <v>1977</v>
      </c>
      <c r="B16" s="62"/>
      <c r="C16" s="63"/>
      <c r="D16" s="62"/>
      <c r="E16" s="64"/>
      <c r="F16" s="62"/>
      <c r="G16" s="64"/>
      <c r="H16" s="62"/>
      <c r="I16" s="64"/>
      <c r="J16" s="62"/>
      <c r="K16" s="65"/>
      <c r="L16" s="78"/>
      <c r="M16" s="78"/>
    </row>
    <row r="17" spans="1:13" ht="12.75">
      <c r="A17" s="17">
        <v>1978</v>
      </c>
      <c r="B17" s="62"/>
      <c r="C17" s="63"/>
      <c r="D17" s="62"/>
      <c r="E17" s="64"/>
      <c r="F17" s="62"/>
      <c r="G17" s="64"/>
      <c r="H17" s="62"/>
      <c r="I17" s="64"/>
      <c r="J17" s="62"/>
      <c r="K17" s="65"/>
      <c r="L17" s="78"/>
      <c r="M17" s="78"/>
    </row>
    <row r="18" spans="1:13" ht="12.75">
      <c r="A18" s="17">
        <v>1979</v>
      </c>
      <c r="B18" s="62"/>
      <c r="C18" s="63"/>
      <c r="D18" s="62"/>
      <c r="E18" s="64"/>
      <c r="F18" s="62"/>
      <c r="G18" s="64"/>
      <c r="H18" s="62"/>
      <c r="I18" s="64"/>
      <c r="J18" s="62"/>
      <c r="K18" s="65"/>
      <c r="L18" s="78"/>
      <c r="M18" s="78"/>
    </row>
    <row r="19" spans="1:13" ht="12.75">
      <c r="A19" s="17">
        <v>1980</v>
      </c>
      <c r="B19" s="62"/>
      <c r="C19" s="63"/>
      <c r="D19" s="62"/>
      <c r="E19" s="64"/>
      <c r="F19" s="62"/>
      <c r="G19" s="64"/>
      <c r="H19" s="62"/>
      <c r="I19" s="64"/>
      <c r="J19" s="62"/>
      <c r="K19" s="65"/>
      <c r="L19" s="78"/>
      <c r="M19" s="78"/>
    </row>
    <row r="20" spans="1:13" ht="12.75">
      <c r="A20" s="17">
        <v>1981</v>
      </c>
      <c r="B20" s="62"/>
      <c r="C20" s="63"/>
      <c r="D20" s="62"/>
      <c r="E20" s="64"/>
      <c r="F20" s="62"/>
      <c r="G20" s="64"/>
      <c r="H20" s="62"/>
      <c r="I20" s="64"/>
      <c r="J20" s="62"/>
      <c r="K20" s="65"/>
      <c r="L20" s="78"/>
      <c r="M20" s="78"/>
    </row>
    <row r="21" spans="1:13" ht="12.75">
      <c r="A21" s="17">
        <v>1982</v>
      </c>
      <c r="B21" s="62"/>
      <c r="C21" s="63"/>
      <c r="D21" s="62"/>
      <c r="E21" s="64"/>
      <c r="F21" s="62"/>
      <c r="G21" s="64"/>
      <c r="H21" s="62"/>
      <c r="I21" s="64"/>
      <c r="J21" s="62"/>
      <c r="K21" s="65"/>
      <c r="L21" s="78"/>
      <c r="M21" s="78"/>
    </row>
    <row r="22" spans="1:13" ht="12.75">
      <c r="A22" s="17">
        <v>1983</v>
      </c>
      <c r="B22" s="62"/>
      <c r="C22" s="63"/>
      <c r="D22" s="62"/>
      <c r="E22" s="64"/>
      <c r="F22" s="62"/>
      <c r="G22" s="64"/>
      <c r="H22" s="62"/>
      <c r="I22" s="64"/>
      <c r="J22" s="62"/>
      <c r="K22" s="65"/>
      <c r="L22" s="78"/>
      <c r="M22" s="78"/>
    </row>
    <row r="23" spans="1:13" ht="12.75">
      <c r="A23" s="17">
        <v>1984</v>
      </c>
      <c r="B23" s="62"/>
      <c r="C23" s="63"/>
      <c r="D23" s="62"/>
      <c r="E23" s="64"/>
      <c r="F23" s="62">
        <v>1</v>
      </c>
      <c r="G23" s="64">
        <f>G22+F23</f>
        <v>1</v>
      </c>
      <c r="H23" s="62"/>
      <c r="I23" s="64"/>
      <c r="J23" s="62">
        <f>B23+D23+F23+H23</f>
        <v>1</v>
      </c>
      <c r="K23" s="65">
        <f>C23+E23+G23+I23</f>
        <v>1</v>
      </c>
      <c r="L23" s="78"/>
      <c r="M23" s="78"/>
    </row>
    <row r="24" spans="1:13" ht="12.75">
      <c r="A24" s="17">
        <v>1985</v>
      </c>
      <c r="B24" s="62">
        <v>3</v>
      </c>
      <c r="C24" s="63">
        <f>C23+B24</f>
        <v>3</v>
      </c>
      <c r="D24" s="62"/>
      <c r="E24" s="64"/>
      <c r="F24" s="62">
        <v>1</v>
      </c>
      <c r="G24" s="64">
        <f aca="true" t="shared" si="0" ref="G24:G44">G23+F24</f>
        <v>2</v>
      </c>
      <c r="H24" s="62"/>
      <c r="I24" s="64"/>
      <c r="J24" s="62">
        <f aca="true" t="shared" si="1" ref="J24:J42">B24+D24+F24+H24</f>
        <v>4</v>
      </c>
      <c r="K24" s="65">
        <f aca="true" t="shared" si="2" ref="K24:K42">C24+E24+G24+I24</f>
        <v>5</v>
      </c>
      <c r="L24" s="78"/>
      <c r="M24" s="78"/>
    </row>
    <row r="25" spans="1:13" ht="12.75">
      <c r="A25" s="17">
        <v>1986</v>
      </c>
      <c r="B25" s="62">
        <v>6</v>
      </c>
      <c r="C25" s="63">
        <f aca="true" t="shared" si="3" ref="C25:C44">C24+B25</f>
        <v>9</v>
      </c>
      <c r="D25" s="62"/>
      <c r="E25" s="64"/>
      <c r="F25" s="62">
        <v>2</v>
      </c>
      <c r="G25" s="64">
        <f t="shared" si="0"/>
        <v>4</v>
      </c>
      <c r="H25" s="62"/>
      <c r="I25" s="64"/>
      <c r="J25" s="62">
        <f t="shared" si="1"/>
        <v>8</v>
      </c>
      <c r="K25" s="65">
        <f t="shared" si="2"/>
        <v>13</v>
      </c>
      <c r="L25" s="78"/>
      <c r="M25" s="78"/>
    </row>
    <row r="26" spans="1:13" ht="12.75">
      <c r="A26" s="17">
        <v>1987</v>
      </c>
      <c r="B26" s="62"/>
      <c r="C26" s="63">
        <f t="shared" si="3"/>
        <v>9</v>
      </c>
      <c r="D26" s="62"/>
      <c r="E26" s="64"/>
      <c r="F26" s="62"/>
      <c r="G26" s="64">
        <f t="shared" si="0"/>
        <v>4</v>
      </c>
      <c r="H26" s="62"/>
      <c r="I26" s="64"/>
      <c r="J26" s="62">
        <f t="shared" si="1"/>
        <v>0</v>
      </c>
      <c r="K26" s="65">
        <f t="shared" si="2"/>
        <v>13</v>
      </c>
      <c r="L26" s="78"/>
      <c r="M26" s="78"/>
    </row>
    <row r="27" spans="1:13" ht="12.75">
      <c r="A27" s="17">
        <v>1988</v>
      </c>
      <c r="B27" s="62">
        <v>2</v>
      </c>
      <c r="C27" s="63">
        <f t="shared" si="3"/>
        <v>11</v>
      </c>
      <c r="D27" s="62"/>
      <c r="E27" s="64"/>
      <c r="F27" s="62">
        <v>27</v>
      </c>
      <c r="G27" s="64">
        <f t="shared" si="0"/>
        <v>31</v>
      </c>
      <c r="H27" s="62">
        <v>2</v>
      </c>
      <c r="I27" s="64">
        <f>I26+H27</f>
        <v>2</v>
      </c>
      <c r="J27" s="62">
        <f t="shared" si="1"/>
        <v>31</v>
      </c>
      <c r="K27" s="65">
        <f t="shared" si="2"/>
        <v>44</v>
      </c>
      <c r="L27" s="78"/>
      <c r="M27" s="78"/>
    </row>
    <row r="28" spans="1:13" ht="12.75">
      <c r="A28" s="17">
        <v>1989</v>
      </c>
      <c r="B28" s="62"/>
      <c r="C28" s="63">
        <f t="shared" si="3"/>
        <v>11</v>
      </c>
      <c r="D28" s="62"/>
      <c r="E28" s="64"/>
      <c r="F28" s="62">
        <v>31</v>
      </c>
      <c r="G28" s="64">
        <f t="shared" si="0"/>
        <v>62</v>
      </c>
      <c r="H28" s="62"/>
      <c r="I28" s="64">
        <f aca="true" t="shared" si="4" ref="I28:I44">I27+H28</f>
        <v>2</v>
      </c>
      <c r="J28" s="62">
        <f t="shared" si="1"/>
        <v>31</v>
      </c>
      <c r="K28" s="65">
        <f t="shared" si="2"/>
        <v>75</v>
      </c>
      <c r="L28" s="78"/>
      <c r="M28" s="78"/>
    </row>
    <row r="29" spans="1:13" ht="12.75">
      <c r="A29" s="17">
        <v>1990</v>
      </c>
      <c r="B29" s="62"/>
      <c r="C29" s="63">
        <f t="shared" si="3"/>
        <v>11</v>
      </c>
      <c r="D29" s="62"/>
      <c r="E29" s="64"/>
      <c r="F29" s="62">
        <v>26</v>
      </c>
      <c r="G29" s="64">
        <f t="shared" si="0"/>
        <v>88</v>
      </c>
      <c r="H29" s="62">
        <v>1</v>
      </c>
      <c r="I29" s="64">
        <f t="shared" si="4"/>
        <v>3</v>
      </c>
      <c r="J29" s="62">
        <f t="shared" si="1"/>
        <v>27</v>
      </c>
      <c r="K29" s="65">
        <f t="shared" si="2"/>
        <v>102</v>
      </c>
      <c r="L29" s="78"/>
      <c r="M29" s="78"/>
    </row>
    <row r="30" spans="1:13" ht="12.75">
      <c r="A30" s="17">
        <v>1991</v>
      </c>
      <c r="B30" s="62"/>
      <c r="C30" s="63">
        <f t="shared" si="3"/>
        <v>11</v>
      </c>
      <c r="D30" s="62"/>
      <c r="E30" s="64"/>
      <c r="F30" s="62">
        <v>21</v>
      </c>
      <c r="G30" s="64">
        <f t="shared" si="0"/>
        <v>109</v>
      </c>
      <c r="H30" s="62">
        <v>9</v>
      </c>
      <c r="I30" s="64">
        <f t="shared" si="4"/>
        <v>12</v>
      </c>
      <c r="J30" s="62">
        <f t="shared" si="1"/>
        <v>30</v>
      </c>
      <c r="K30" s="65">
        <f t="shared" si="2"/>
        <v>132</v>
      </c>
      <c r="L30" s="78"/>
      <c r="M30" s="78"/>
    </row>
    <row r="31" spans="1:13" ht="12.75">
      <c r="A31" s="17">
        <v>1992</v>
      </c>
      <c r="B31" s="62"/>
      <c r="C31" s="63">
        <f t="shared" si="3"/>
        <v>11</v>
      </c>
      <c r="D31" s="62"/>
      <c r="E31" s="64"/>
      <c r="F31" s="62">
        <v>20</v>
      </c>
      <c r="G31" s="64">
        <f t="shared" si="0"/>
        <v>129</v>
      </c>
      <c r="H31" s="62">
        <v>8</v>
      </c>
      <c r="I31" s="64">
        <f t="shared" si="4"/>
        <v>20</v>
      </c>
      <c r="J31" s="62">
        <f t="shared" si="1"/>
        <v>28</v>
      </c>
      <c r="K31" s="65">
        <f t="shared" si="2"/>
        <v>160</v>
      </c>
      <c r="L31" s="78"/>
      <c r="M31" s="78"/>
    </row>
    <row r="32" spans="1:13" ht="12.75">
      <c r="A32" s="17">
        <v>1993</v>
      </c>
      <c r="B32" s="62"/>
      <c r="C32" s="63">
        <f t="shared" si="3"/>
        <v>11</v>
      </c>
      <c r="D32" s="62"/>
      <c r="E32" s="64"/>
      <c r="F32" s="62">
        <v>26</v>
      </c>
      <c r="G32" s="64">
        <f t="shared" si="0"/>
        <v>155</v>
      </c>
      <c r="H32" s="62">
        <v>8</v>
      </c>
      <c r="I32" s="64">
        <f t="shared" si="4"/>
        <v>28</v>
      </c>
      <c r="J32" s="62">
        <f t="shared" si="1"/>
        <v>34</v>
      </c>
      <c r="K32" s="65">
        <f t="shared" si="2"/>
        <v>194</v>
      </c>
      <c r="L32" s="78"/>
      <c r="M32" s="78"/>
    </row>
    <row r="33" spans="1:13" ht="12.75">
      <c r="A33" s="17">
        <v>1994</v>
      </c>
      <c r="B33" s="62"/>
      <c r="C33" s="63">
        <f t="shared" si="3"/>
        <v>11</v>
      </c>
      <c r="D33" s="62">
        <v>1</v>
      </c>
      <c r="E33" s="64">
        <f>E32+D33</f>
        <v>1</v>
      </c>
      <c r="F33" s="62">
        <v>25</v>
      </c>
      <c r="G33" s="64">
        <f t="shared" si="0"/>
        <v>180</v>
      </c>
      <c r="H33" s="62">
        <v>13</v>
      </c>
      <c r="I33" s="64">
        <f t="shared" si="4"/>
        <v>41</v>
      </c>
      <c r="J33" s="62">
        <f t="shared" si="1"/>
        <v>39</v>
      </c>
      <c r="K33" s="65">
        <f t="shared" si="2"/>
        <v>233</v>
      </c>
      <c r="L33" s="78"/>
      <c r="M33" s="78"/>
    </row>
    <row r="34" spans="1:13" ht="12.75">
      <c r="A34" s="17">
        <v>1995</v>
      </c>
      <c r="B34" s="62"/>
      <c r="C34" s="63">
        <f t="shared" si="3"/>
        <v>11</v>
      </c>
      <c r="D34" s="62"/>
      <c r="E34" s="64">
        <f aca="true" t="shared" si="5" ref="E34:E44">E33+D34</f>
        <v>1</v>
      </c>
      <c r="F34" s="62">
        <v>17</v>
      </c>
      <c r="G34" s="64">
        <f t="shared" si="0"/>
        <v>197</v>
      </c>
      <c r="H34" s="62">
        <v>9</v>
      </c>
      <c r="I34" s="64">
        <f t="shared" si="4"/>
        <v>50</v>
      </c>
      <c r="J34" s="62">
        <f t="shared" si="1"/>
        <v>26</v>
      </c>
      <c r="K34" s="65">
        <f t="shared" si="2"/>
        <v>259</v>
      </c>
      <c r="L34" s="78"/>
      <c r="M34" s="78"/>
    </row>
    <row r="35" spans="1:13" ht="12.75">
      <c r="A35" s="17">
        <v>1996</v>
      </c>
      <c r="B35" s="62"/>
      <c r="C35" s="63">
        <f t="shared" si="3"/>
        <v>11</v>
      </c>
      <c r="D35" s="62"/>
      <c r="E35" s="64">
        <f t="shared" si="5"/>
        <v>1</v>
      </c>
      <c r="F35" s="62">
        <v>14</v>
      </c>
      <c r="G35" s="64">
        <f t="shared" si="0"/>
        <v>211</v>
      </c>
      <c r="H35" s="62">
        <v>10</v>
      </c>
      <c r="I35" s="64">
        <f t="shared" si="4"/>
        <v>60</v>
      </c>
      <c r="J35" s="62">
        <f t="shared" si="1"/>
        <v>24</v>
      </c>
      <c r="K35" s="65">
        <f t="shared" si="2"/>
        <v>283</v>
      </c>
      <c r="L35" s="78"/>
      <c r="M35" s="78"/>
    </row>
    <row r="36" spans="1:13" ht="12.75">
      <c r="A36" s="17">
        <v>1997</v>
      </c>
      <c r="B36" s="62"/>
      <c r="C36" s="63">
        <f t="shared" si="3"/>
        <v>11</v>
      </c>
      <c r="D36" s="62"/>
      <c r="E36" s="64">
        <f t="shared" si="5"/>
        <v>1</v>
      </c>
      <c r="F36" s="62">
        <v>22</v>
      </c>
      <c r="G36" s="64">
        <f t="shared" si="0"/>
        <v>233</v>
      </c>
      <c r="H36" s="62">
        <v>10</v>
      </c>
      <c r="I36" s="64">
        <f t="shared" si="4"/>
        <v>70</v>
      </c>
      <c r="J36" s="62">
        <f t="shared" si="1"/>
        <v>32</v>
      </c>
      <c r="K36" s="65">
        <f t="shared" si="2"/>
        <v>315</v>
      </c>
      <c r="L36" s="78"/>
      <c r="M36" s="78"/>
    </row>
    <row r="37" spans="1:13" ht="12.75">
      <c r="A37" s="17">
        <v>1998</v>
      </c>
      <c r="B37" s="62"/>
      <c r="C37" s="63">
        <f t="shared" si="3"/>
        <v>11</v>
      </c>
      <c r="D37" s="62"/>
      <c r="E37" s="64">
        <f t="shared" si="5"/>
        <v>1</v>
      </c>
      <c r="F37" s="62">
        <v>23</v>
      </c>
      <c r="G37" s="64">
        <f t="shared" si="0"/>
        <v>256</v>
      </c>
      <c r="H37" s="62">
        <v>13</v>
      </c>
      <c r="I37" s="64">
        <f t="shared" si="4"/>
        <v>83</v>
      </c>
      <c r="J37" s="62">
        <f t="shared" si="1"/>
        <v>36</v>
      </c>
      <c r="K37" s="65">
        <f t="shared" si="2"/>
        <v>351</v>
      </c>
      <c r="L37" s="78"/>
      <c r="M37" s="78"/>
    </row>
    <row r="38" spans="1:13" ht="12.75">
      <c r="A38" s="18">
        <v>1999</v>
      </c>
      <c r="B38" s="66"/>
      <c r="C38" s="67">
        <f t="shared" si="3"/>
        <v>11</v>
      </c>
      <c r="D38" s="66"/>
      <c r="E38" s="68">
        <f t="shared" si="5"/>
        <v>1</v>
      </c>
      <c r="F38" s="66">
        <v>21</v>
      </c>
      <c r="G38" s="68">
        <f t="shared" si="0"/>
        <v>277</v>
      </c>
      <c r="H38" s="66">
        <v>13</v>
      </c>
      <c r="I38" s="68">
        <f t="shared" si="4"/>
        <v>96</v>
      </c>
      <c r="J38" s="66">
        <f t="shared" si="1"/>
        <v>34</v>
      </c>
      <c r="K38" s="69">
        <f t="shared" si="2"/>
        <v>385</v>
      </c>
      <c r="L38" s="78"/>
      <c r="M38" s="78"/>
    </row>
    <row r="39" spans="1:13" s="7" customFormat="1" ht="20.25" customHeight="1">
      <c r="A39" s="17">
        <v>2000</v>
      </c>
      <c r="B39" s="62"/>
      <c r="C39" s="63">
        <f t="shared" si="3"/>
        <v>11</v>
      </c>
      <c r="D39" s="62"/>
      <c r="E39" s="64">
        <f t="shared" si="5"/>
        <v>1</v>
      </c>
      <c r="F39" s="62">
        <v>14</v>
      </c>
      <c r="G39" s="64">
        <f t="shared" si="0"/>
        <v>291</v>
      </c>
      <c r="H39" s="62">
        <v>6</v>
      </c>
      <c r="I39" s="64">
        <f t="shared" si="4"/>
        <v>102</v>
      </c>
      <c r="J39" s="62">
        <f t="shared" si="1"/>
        <v>20</v>
      </c>
      <c r="K39" s="65">
        <f t="shared" si="2"/>
        <v>405</v>
      </c>
      <c r="L39" s="81"/>
      <c r="M39" s="81"/>
    </row>
    <row r="40" spans="1:13" ht="12.75">
      <c r="A40" s="17">
        <v>2001</v>
      </c>
      <c r="B40" s="62">
        <v>1</v>
      </c>
      <c r="C40" s="63">
        <f t="shared" si="3"/>
        <v>12</v>
      </c>
      <c r="D40" s="62"/>
      <c r="E40" s="64">
        <f t="shared" si="5"/>
        <v>1</v>
      </c>
      <c r="F40" s="62">
        <v>16</v>
      </c>
      <c r="G40" s="64">
        <f t="shared" si="0"/>
        <v>307</v>
      </c>
      <c r="H40" s="62">
        <v>8</v>
      </c>
      <c r="I40" s="64">
        <f t="shared" si="4"/>
        <v>110</v>
      </c>
      <c r="J40" s="62">
        <f t="shared" si="1"/>
        <v>25</v>
      </c>
      <c r="K40" s="65">
        <f t="shared" si="2"/>
        <v>430</v>
      </c>
      <c r="L40" s="78"/>
      <c r="M40" s="78"/>
    </row>
    <row r="41" spans="1:13" ht="12.75">
      <c r="A41" s="17">
        <v>2002</v>
      </c>
      <c r="B41" s="62">
        <v>1</v>
      </c>
      <c r="C41" s="63">
        <f t="shared" si="3"/>
        <v>13</v>
      </c>
      <c r="D41" s="62"/>
      <c r="E41" s="64">
        <f t="shared" si="5"/>
        <v>1</v>
      </c>
      <c r="F41" s="62">
        <v>8</v>
      </c>
      <c r="G41" s="64">
        <f t="shared" si="0"/>
        <v>315</v>
      </c>
      <c r="H41" s="62">
        <v>10</v>
      </c>
      <c r="I41" s="64">
        <f t="shared" si="4"/>
        <v>120</v>
      </c>
      <c r="J41" s="62">
        <f t="shared" si="1"/>
        <v>19</v>
      </c>
      <c r="K41" s="65">
        <f t="shared" si="2"/>
        <v>449</v>
      </c>
      <c r="L41" s="78"/>
      <c r="M41" s="78"/>
    </row>
    <row r="42" spans="1:13" ht="12.75">
      <c r="A42" s="17">
        <v>2003</v>
      </c>
      <c r="B42" s="62">
        <v>1</v>
      </c>
      <c r="C42" s="63">
        <f t="shared" si="3"/>
        <v>14</v>
      </c>
      <c r="D42" s="62"/>
      <c r="E42" s="64">
        <f t="shared" si="5"/>
        <v>1</v>
      </c>
      <c r="F42" s="62">
        <v>18</v>
      </c>
      <c r="G42" s="64">
        <f t="shared" si="0"/>
        <v>333</v>
      </c>
      <c r="H42" s="62">
        <v>17</v>
      </c>
      <c r="I42" s="64">
        <f t="shared" si="4"/>
        <v>137</v>
      </c>
      <c r="J42" s="62">
        <f t="shared" si="1"/>
        <v>36</v>
      </c>
      <c r="K42" s="65">
        <f t="shared" si="2"/>
        <v>485</v>
      </c>
      <c r="L42" s="78"/>
      <c r="M42" s="78"/>
    </row>
    <row r="43" spans="1:13" ht="12.75">
      <c r="A43" s="17">
        <v>2004</v>
      </c>
      <c r="B43" s="62">
        <v>6</v>
      </c>
      <c r="C43" s="63">
        <f t="shared" si="3"/>
        <v>20</v>
      </c>
      <c r="D43" s="62"/>
      <c r="E43" s="64">
        <f t="shared" si="5"/>
        <v>1</v>
      </c>
      <c r="F43" s="62">
        <v>17</v>
      </c>
      <c r="G43" s="64">
        <f t="shared" si="0"/>
        <v>350</v>
      </c>
      <c r="H43" s="62">
        <v>8</v>
      </c>
      <c r="I43" s="64">
        <f t="shared" si="4"/>
        <v>145</v>
      </c>
      <c r="J43" s="62">
        <f aca="true" t="shared" si="6" ref="J43:K45">B43+D43+F43+H43</f>
        <v>31</v>
      </c>
      <c r="K43" s="65">
        <f t="shared" si="6"/>
        <v>516</v>
      </c>
      <c r="L43" s="78"/>
      <c r="M43" s="78"/>
    </row>
    <row r="44" spans="1:11" s="78" customFormat="1" ht="12.75">
      <c r="A44" s="17">
        <v>2005</v>
      </c>
      <c r="B44" s="62">
        <f>0+1+0+2</f>
        <v>3</v>
      </c>
      <c r="C44" s="63">
        <f t="shared" si="3"/>
        <v>23</v>
      </c>
      <c r="D44" s="62">
        <f>0+0+0</f>
        <v>0</v>
      </c>
      <c r="E44" s="64">
        <f t="shared" si="5"/>
        <v>1</v>
      </c>
      <c r="F44" s="74">
        <f>2+5+2+5</f>
        <v>14</v>
      </c>
      <c r="G44" s="64">
        <f t="shared" si="0"/>
        <v>364</v>
      </c>
      <c r="H44" s="154">
        <f>5+3+2+3</f>
        <v>13</v>
      </c>
      <c r="I44" s="145">
        <f t="shared" si="4"/>
        <v>158</v>
      </c>
      <c r="J44" s="62">
        <f t="shared" si="6"/>
        <v>30</v>
      </c>
      <c r="K44" s="65">
        <f t="shared" si="6"/>
        <v>546</v>
      </c>
    </row>
    <row r="45" spans="1:11" s="78" customFormat="1" ht="12.75">
      <c r="A45" s="17">
        <v>2006</v>
      </c>
      <c r="B45" s="62">
        <f>2+1+1+3</f>
        <v>7</v>
      </c>
      <c r="C45" s="63">
        <f aca="true" t="shared" si="7" ref="C45:C50">C44+B45</f>
        <v>30</v>
      </c>
      <c r="D45" s="62">
        <f>0+0</f>
        <v>0</v>
      </c>
      <c r="E45" s="64">
        <f aca="true" t="shared" si="8" ref="E45:E50">E44+D45</f>
        <v>1</v>
      </c>
      <c r="F45" s="74">
        <f>5+5+3+7</f>
        <v>20</v>
      </c>
      <c r="G45" s="64">
        <f aca="true" t="shared" si="9" ref="G45:G50">G44+F45</f>
        <v>384</v>
      </c>
      <c r="H45" s="154">
        <f>2+4+3+4</f>
        <v>13</v>
      </c>
      <c r="I45" s="145">
        <f aca="true" t="shared" si="10" ref="I45:I50">I44+H45</f>
        <v>171</v>
      </c>
      <c r="J45" s="62">
        <f t="shared" si="6"/>
        <v>40</v>
      </c>
      <c r="K45" s="65">
        <f t="shared" si="6"/>
        <v>586</v>
      </c>
    </row>
    <row r="46" spans="1:11" s="78" customFormat="1" ht="12.75">
      <c r="A46" s="17">
        <v>2007</v>
      </c>
      <c r="B46" s="62">
        <f>2+2+1+1</f>
        <v>6</v>
      </c>
      <c r="C46" s="63">
        <f t="shared" si="7"/>
        <v>36</v>
      </c>
      <c r="D46" s="62">
        <f>0+0+0</f>
        <v>0</v>
      </c>
      <c r="E46" s="64">
        <f t="shared" si="8"/>
        <v>1</v>
      </c>
      <c r="F46" s="74">
        <f>4+6+8+7</f>
        <v>25</v>
      </c>
      <c r="G46" s="64">
        <f t="shared" si="9"/>
        <v>409</v>
      </c>
      <c r="H46" s="154">
        <f>5+5+1+4</f>
        <v>15</v>
      </c>
      <c r="I46" s="145">
        <f t="shared" si="10"/>
        <v>186</v>
      </c>
      <c r="J46" s="62">
        <f aca="true" t="shared" si="11" ref="J46:K48">B46+D46+F46+H46</f>
        <v>46</v>
      </c>
      <c r="K46" s="65">
        <f t="shared" si="11"/>
        <v>632</v>
      </c>
    </row>
    <row r="47" spans="1:11" s="78" customFormat="1" ht="12.75">
      <c r="A47" s="17">
        <v>2008</v>
      </c>
      <c r="B47" s="62">
        <f>3+1+2+3</f>
        <v>9</v>
      </c>
      <c r="C47" s="63">
        <f t="shared" si="7"/>
        <v>45</v>
      </c>
      <c r="D47" s="62">
        <f>0+0</f>
        <v>0</v>
      </c>
      <c r="E47" s="64">
        <f t="shared" si="8"/>
        <v>1</v>
      </c>
      <c r="F47" s="74">
        <f>5+3+8+7</f>
        <v>23</v>
      </c>
      <c r="G47" s="64">
        <f t="shared" si="9"/>
        <v>432</v>
      </c>
      <c r="H47" s="154">
        <f>1+3+3+5</f>
        <v>12</v>
      </c>
      <c r="I47" s="145">
        <f t="shared" si="10"/>
        <v>198</v>
      </c>
      <c r="J47" s="62">
        <f t="shared" si="11"/>
        <v>44</v>
      </c>
      <c r="K47" s="65">
        <f t="shared" si="11"/>
        <v>676</v>
      </c>
    </row>
    <row r="48" spans="1:11" s="78" customFormat="1" ht="12.75">
      <c r="A48" s="17">
        <v>2009</v>
      </c>
      <c r="B48" s="62">
        <f>4+2+4+4</f>
        <v>14</v>
      </c>
      <c r="C48" s="63">
        <f t="shared" si="7"/>
        <v>59</v>
      </c>
      <c r="D48" s="62">
        <f>0+0</f>
        <v>0</v>
      </c>
      <c r="E48" s="64">
        <f t="shared" si="8"/>
        <v>1</v>
      </c>
      <c r="F48" s="153">
        <f>7+10+7+8</f>
        <v>32</v>
      </c>
      <c r="G48" s="64">
        <f t="shared" si="9"/>
        <v>464</v>
      </c>
      <c r="H48" s="154">
        <f>1+1+3+4</f>
        <v>9</v>
      </c>
      <c r="I48" s="145">
        <f t="shared" si="10"/>
        <v>207</v>
      </c>
      <c r="J48" s="62">
        <f t="shared" si="11"/>
        <v>55</v>
      </c>
      <c r="K48" s="65">
        <f t="shared" si="11"/>
        <v>731</v>
      </c>
    </row>
    <row r="49" spans="1:11" s="78" customFormat="1" ht="12.75">
      <c r="A49" s="17">
        <v>2010</v>
      </c>
      <c r="B49" s="62">
        <f>3+2+6+3</f>
        <v>14</v>
      </c>
      <c r="C49" s="63">
        <f t="shared" si="7"/>
        <v>73</v>
      </c>
      <c r="D49" s="62">
        <f>0+0+0</f>
        <v>0</v>
      </c>
      <c r="E49" s="64">
        <f t="shared" si="8"/>
        <v>1</v>
      </c>
      <c r="F49" s="153">
        <f>5+10+9+7</f>
        <v>31</v>
      </c>
      <c r="G49" s="64">
        <f t="shared" si="9"/>
        <v>495</v>
      </c>
      <c r="H49" s="166">
        <f>2+3+4+2</f>
        <v>11</v>
      </c>
      <c r="I49" s="167">
        <f t="shared" si="10"/>
        <v>218</v>
      </c>
      <c r="J49" s="62">
        <f aca="true" t="shared" si="12" ref="J49:K51">B49+D49+F49+H49</f>
        <v>56</v>
      </c>
      <c r="K49" s="65">
        <f t="shared" si="12"/>
        <v>787</v>
      </c>
    </row>
    <row r="50" spans="1:11" s="179" customFormat="1" ht="12.75">
      <c r="A50" s="171">
        <v>2011</v>
      </c>
      <c r="B50" s="175"/>
      <c r="C50" s="141">
        <f t="shared" si="7"/>
        <v>73</v>
      </c>
      <c r="D50" s="175">
        <f>0+0+0</f>
        <v>0</v>
      </c>
      <c r="E50" s="140">
        <f t="shared" si="8"/>
        <v>1</v>
      </c>
      <c r="F50" s="174">
        <f>7+6+2+5</f>
        <v>20</v>
      </c>
      <c r="G50" s="140">
        <f t="shared" si="9"/>
        <v>515</v>
      </c>
      <c r="H50" s="181">
        <f>9+9+7+6</f>
        <v>31</v>
      </c>
      <c r="I50" s="169">
        <f t="shared" si="10"/>
        <v>249</v>
      </c>
      <c r="J50" s="175">
        <f t="shared" si="12"/>
        <v>51</v>
      </c>
      <c r="K50" s="147">
        <f t="shared" si="12"/>
        <v>838</v>
      </c>
    </row>
    <row r="51" spans="1:11" s="179" customFormat="1" ht="12.75">
      <c r="A51" s="171">
        <v>2012</v>
      </c>
      <c r="B51" s="175"/>
      <c r="C51" s="141">
        <f aca="true" t="shared" si="13" ref="C51:C56">C50+B51</f>
        <v>73</v>
      </c>
      <c r="D51" s="175">
        <f>0+0+0</f>
        <v>0</v>
      </c>
      <c r="E51" s="140">
        <f aca="true" t="shared" si="14" ref="E51:E56">E50+D51</f>
        <v>1</v>
      </c>
      <c r="F51" s="174">
        <f>6+4+6+11</f>
        <v>27</v>
      </c>
      <c r="G51" s="140">
        <f aca="true" t="shared" si="15" ref="G51:G56">G50+F51</f>
        <v>542</v>
      </c>
      <c r="H51" s="181">
        <f>5+5+8+2</f>
        <v>20</v>
      </c>
      <c r="I51" s="169">
        <f aca="true" t="shared" si="16" ref="I51:I56">I50+H51</f>
        <v>269</v>
      </c>
      <c r="J51" s="175">
        <f t="shared" si="12"/>
        <v>47</v>
      </c>
      <c r="K51" s="147">
        <f t="shared" si="12"/>
        <v>885</v>
      </c>
    </row>
    <row r="52" spans="1:11" s="179" customFormat="1" ht="12.75">
      <c r="A52" s="171">
        <v>2013</v>
      </c>
      <c r="B52" s="175"/>
      <c r="C52" s="141">
        <f t="shared" si="13"/>
        <v>73</v>
      </c>
      <c r="D52" s="175">
        <f>0+0+0</f>
        <v>0</v>
      </c>
      <c r="E52" s="140">
        <f t="shared" si="14"/>
        <v>1</v>
      </c>
      <c r="F52" s="174">
        <f>7+9+7+8</f>
        <v>31</v>
      </c>
      <c r="G52" s="140">
        <f t="shared" si="15"/>
        <v>573</v>
      </c>
      <c r="H52" s="181">
        <f>4+4+6+10</f>
        <v>24</v>
      </c>
      <c r="I52" s="169">
        <f t="shared" si="16"/>
        <v>293</v>
      </c>
      <c r="J52" s="175">
        <f aca="true" t="shared" si="17" ref="J52:K54">B52+D52+F52+H52</f>
        <v>55</v>
      </c>
      <c r="K52" s="147">
        <f t="shared" si="17"/>
        <v>940</v>
      </c>
    </row>
    <row r="53" spans="1:11" s="179" customFormat="1" ht="12.75">
      <c r="A53" s="171">
        <v>2014</v>
      </c>
      <c r="B53" s="175"/>
      <c r="C53" s="141">
        <f t="shared" si="13"/>
        <v>73</v>
      </c>
      <c r="D53" s="175">
        <f>0+0+0</f>
        <v>0</v>
      </c>
      <c r="E53" s="140">
        <f t="shared" si="14"/>
        <v>1</v>
      </c>
      <c r="F53" s="174">
        <f>7+6+15+9</f>
        <v>37</v>
      </c>
      <c r="G53" s="140">
        <f t="shared" si="15"/>
        <v>610</v>
      </c>
      <c r="H53" s="181">
        <f>9+10+8+3</f>
        <v>30</v>
      </c>
      <c r="I53" s="169">
        <f t="shared" si="16"/>
        <v>323</v>
      </c>
      <c r="J53" s="175">
        <f t="shared" si="17"/>
        <v>67</v>
      </c>
      <c r="K53" s="147">
        <f t="shared" si="17"/>
        <v>1007</v>
      </c>
    </row>
    <row r="54" spans="1:11" s="179" customFormat="1" ht="12.75">
      <c r="A54" s="171">
        <v>2015</v>
      </c>
      <c r="B54" s="175"/>
      <c r="C54" s="141">
        <f t="shared" si="13"/>
        <v>73</v>
      </c>
      <c r="D54" s="175"/>
      <c r="E54" s="140">
        <f t="shared" si="14"/>
        <v>1</v>
      </c>
      <c r="F54" s="174">
        <f>10+11+8+6</f>
        <v>35</v>
      </c>
      <c r="G54" s="140">
        <f t="shared" si="15"/>
        <v>645</v>
      </c>
      <c r="H54" s="181">
        <f>8+8+6+6</f>
        <v>28</v>
      </c>
      <c r="I54" s="169">
        <f t="shared" si="16"/>
        <v>351</v>
      </c>
      <c r="J54" s="175">
        <f t="shared" si="17"/>
        <v>63</v>
      </c>
      <c r="K54" s="147">
        <f t="shared" si="17"/>
        <v>1070</v>
      </c>
    </row>
    <row r="55" spans="1:11" s="179" customFormat="1" ht="12.75">
      <c r="A55" s="17">
        <v>2016</v>
      </c>
      <c r="B55" s="175"/>
      <c r="C55" s="141">
        <f t="shared" si="13"/>
        <v>73</v>
      </c>
      <c r="D55" s="175"/>
      <c r="E55" s="140">
        <f t="shared" si="14"/>
        <v>1</v>
      </c>
      <c r="F55" s="174">
        <f>6+10+7+8</f>
        <v>31</v>
      </c>
      <c r="G55" s="140">
        <f t="shared" si="15"/>
        <v>676</v>
      </c>
      <c r="H55" s="181">
        <f>11+10+7+5</f>
        <v>33</v>
      </c>
      <c r="I55" s="169">
        <f t="shared" si="16"/>
        <v>384</v>
      </c>
      <c r="J55" s="175">
        <f aca="true" t="shared" si="18" ref="J55:K57">B55+D55+F55+H55</f>
        <v>64</v>
      </c>
      <c r="K55" s="147">
        <f t="shared" si="18"/>
        <v>1134</v>
      </c>
    </row>
    <row r="56" spans="1:11" s="185" customFormat="1" ht="12.75">
      <c r="A56" s="17">
        <v>2017</v>
      </c>
      <c r="B56" s="175"/>
      <c r="C56" s="141">
        <f t="shared" si="13"/>
        <v>73</v>
      </c>
      <c r="D56" s="175"/>
      <c r="E56" s="140">
        <f t="shared" si="14"/>
        <v>1</v>
      </c>
      <c r="F56" s="174">
        <f>10+7+9+8</f>
        <v>34</v>
      </c>
      <c r="G56" s="140">
        <f t="shared" si="15"/>
        <v>710</v>
      </c>
      <c r="H56" s="181">
        <f>11+8+4+5</f>
        <v>28</v>
      </c>
      <c r="I56" s="169">
        <f t="shared" si="16"/>
        <v>412</v>
      </c>
      <c r="J56" s="175">
        <f t="shared" si="18"/>
        <v>62</v>
      </c>
      <c r="K56" s="147">
        <f t="shared" si="18"/>
        <v>1196</v>
      </c>
    </row>
    <row r="57" spans="1:11" s="185" customFormat="1" ht="12.75">
      <c r="A57" s="17">
        <v>2018</v>
      </c>
      <c r="B57" s="175"/>
      <c r="C57" s="141">
        <f>C56+B57</f>
        <v>73</v>
      </c>
      <c r="D57" s="175"/>
      <c r="E57" s="140">
        <f>E56+D57</f>
        <v>1</v>
      </c>
      <c r="F57" s="174">
        <f>6+10+10+5</f>
        <v>31</v>
      </c>
      <c r="G57" s="140">
        <f>G56+F57</f>
        <v>741</v>
      </c>
      <c r="H57" s="181">
        <f>8+7+11+9</f>
        <v>35</v>
      </c>
      <c r="I57" s="169">
        <f>I56+H57</f>
        <v>447</v>
      </c>
      <c r="J57" s="175">
        <f t="shared" si="18"/>
        <v>66</v>
      </c>
      <c r="K57" s="147">
        <f t="shared" si="18"/>
        <v>1262</v>
      </c>
    </row>
    <row r="58" spans="1:11" s="374" customFormat="1" ht="12.75">
      <c r="A58" s="355">
        <v>2019</v>
      </c>
      <c r="B58" s="367"/>
      <c r="C58" s="368">
        <f>C57+B58</f>
        <v>73</v>
      </c>
      <c r="D58" s="367"/>
      <c r="E58" s="369">
        <f>E57+D58</f>
        <v>1</v>
      </c>
      <c r="F58" s="370">
        <f>11+5+8+9</f>
        <v>33</v>
      </c>
      <c r="G58" s="369">
        <f>G57+F58</f>
        <v>774</v>
      </c>
      <c r="H58" s="371">
        <f>8+8+3+8</f>
        <v>27</v>
      </c>
      <c r="I58" s="372">
        <f>I57+H58</f>
        <v>474</v>
      </c>
      <c r="J58" s="367">
        <f>B58+D58+F58+H58</f>
        <v>60</v>
      </c>
      <c r="K58" s="373">
        <f>C58+E58+G58+I58</f>
        <v>1322</v>
      </c>
    </row>
    <row r="59" spans="1:11" s="354" customFormat="1" ht="12.75">
      <c r="A59" s="346">
        <v>2020</v>
      </c>
      <c r="B59" s="347"/>
      <c r="C59" s="348">
        <f>C58+B59</f>
        <v>73</v>
      </c>
      <c r="D59" s="347"/>
      <c r="E59" s="349">
        <f>E58+D59</f>
        <v>1</v>
      </c>
      <c r="F59" s="350">
        <f>6</f>
        <v>6</v>
      </c>
      <c r="G59" s="349">
        <f>G58+F59</f>
        <v>780</v>
      </c>
      <c r="H59" s="351">
        <f>7</f>
        <v>7</v>
      </c>
      <c r="I59" s="352">
        <f>I58+H59</f>
        <v>481</v>
      </c>
      <c r="J59" s="347">
        <f>B59+D59+F59+H59</f>
        <v>13</v>
      </c>
      <c r="K59" s="353">
        <f>C59+E59+G59+I59</f>
        <v>1335</v>
      </c>
    </row>
    <row r="60" spans="1:11" s="157" customFormat="1" ht="12.75">
      <c r="A60" s="355"/>
      <c r="B60" s="356"/>
      <c r="C60" s="357"/>
      <c r="D60" s="358"/>
      <c r="E60" s="359"/>
      <c r="F60" s="360"/>
      <c r="G60" s="359"/>
      <c r="H60" s="356"/>
      <c r="I60" s="359"/>
      <c r="J60" s="360"/>
      <c r="K60" s="359"/>
    </row>
    <row r="61" spans="1:11" s="157" customFormat="1" ht="12.75">
      <c r="A61" s="355"/>
      <c r="B61" s="356"/>
      <c r="C61" s="357"/>
      <c r="D61" s="358"/>
      <c r="E61" s="359"/>
      <c r="F61" s="360"/>
      <c r="G61" s="359"/>
      <c r="H61" s="356"/>
      <c r="I61" s="359"/>
      <c r="J61" s="360"/>
      <c r="K61" s="359"/>
    </row>
    <row r="62" spans="1:11" s="157" customFormat="1" ht="12.75">
      <c r="A62" s="355"/>
      <c r="B62" s="356"/>
      <c r="C62" s="359"/>
      <c r="D62" s="358"/>
      <c r="E62" s="359"/>
      <c r="F62" s="360"/>
      <c r="G62" s="359"/>
      <c r="H62" s="356"/>
      <c r="I62" s="359"/>
      <c r="J62" s="360"/>
      <c r="K62" s="359"/>
    </row>
    <row r="63" spans="1:11" s="157" customFormat="1" ht="12.75">
      <c r="A63" s="355"/>
      <c r="B63" s="356"/>
      <c r="C63" s="359"/>
      <c r="D63" s="358"/>
      <c r="E63" s="359"/>
      <c r="F63" s="360"/>
      <c r="G63" s="359"/>
      <c r="H63" s="356"/>
      <c r="I63" s="359"/>
      <c r="J63" s="360"/>
      <c r="K63" s="359"/>
    </row>
    <row r="64" spans="1:11" s="157" customFormat="1" ht="12.75">
      <c r="A64" s="355"/>
      <c r="B64" s="356"/>
      <c r="C64" s="359"/>
      <c r="D64" s="358"/>
      <c r="E64" s="359"/>
      <c r="F64" s="360"/>
      <c r="G64" s="359"/>
      <c r="H64" s="356"/>
      <c r="I64" s="359"/>
      <c r="J64" s="360"/>
      <c r="K64" s="359"/>
    </row>
    <row r="65" spans="1:11" s="157" customFormat="1" ht="12.75">
      <c r="A65" s="355"/>
      <c r="B65" s="356"/>
      <c r="C65" s="359"/>
      <c r="D65" s="358"/>
      <c r="E65" s="359"/>
      <c r="F65" s="360"/>
      <c r="G65" s="359"/>
      <c r="H65" s="356"/>
      <c r="I65" s="359"/>
      <c r="J65" s="360"/>
      <c r="K65" s="359"/>
    </row>
    <row r="66" spans="1:11" s="157" customFormat="1" ht="12.75">
      <c r="A66" s="355"/>
      <c r="B66" s="356"/>
      <c r="C66" s="359"/>
      <c r="D66" s="358"/>
      <c r="E66" s="359"/>
      <c r="F66" s="360"/>
      <c r="G66" s="359"/>
      <c r="H66" s="356"/>
      <c r="I66" s="359"/>
      <c r="J66" s="360"/>
      <c r="K66" s="359"/>
    </row>
    <row r="67" spans="1:11" s="157" customFormat="1" ht="12.75">
      <c r="A67" s="355"/>
      <c r="B67" s="356"/>
      <c r="C67" s="359"/>
      <c r="D67" s="358"/>
      <c r="E67" s="359"/>
      <c r="F67" s="360"/>
      <c r="G67" s="359"/>
      <c r="H67" s="356"/>
      <c r="I67" s="359"/>
      <c r="J67" s="360"/>
      <c r="K67" s="359"/>
    </row>
    <row r="68" spans="1:11" s="157" customFormat="1" ht="12.75">
      <c r="A68" s="355"/>
      <c r="B68" s="356"/>
      <c r="C68" s="359"/>
      <c r="D68" s="358"/>
      <c r="E68" s="359"/>
      <c r="F68" s="360"/>
      <c r="G68" s="359"/>
      <c r="H68" s="356"/>
      <c r="I68" s="359"/>
      <c r="J68" s="360"/>
      <c r="K68" s="359"/>
    </row>
    <row r="69" spans="1:11" s="157" customFormat="1" ht="12.75">
      <c r="A69" s="355"/>
      <c r="B69" s="356"/>
      <c r="C69" s="359"/>
      <c r="D69" s="358"/>
      <c r="E69" s="359"/>
      <c r="F69" s="360"/>
      <c r="G69" s="359"/>
      <c r="H69" s="356"/>
      <c r="I69" s="359"/>
      <c r="J69" s="360"/>
      <c r="K69" s="359"/>
    </row>
    <row r="70" spans="1:11" s="157" customFormat="1" ht="12.75">
      <c r="A70" s="355"/>
      <c r="B70" s="356"/>
      <c r="C70" s="359"/>
      <c r="D70" s="358"/>
      <c r="E70" s="359"/>
      <c r="F70" s="360"/>
      <c r="G70" s="359"/>
      <c r="H70" s="356"/>
      <c r="I70" s="359"/>
      <c r="J70" s="360"/>
      <c r="K70" s="359"/>
    </row>
    <row r="71" spans="1:11" s="157" customFormat="1" ht="12.75">
      <c r="A71" s="355"/>
      <c r="B71" s="356"/>
      <c r="C71" s="359"/>
      <c r="D71" s="358"/>
      <c r="E71" s="359"/>
      <c r="F71" s="360"/>
      <c r="G71" s="359"/>
      <c r="H71" s="356"/>
      <c r="I71" s="359"/>
      <c r="J71" s="360"/>
      <c r="K71" s="359"/>
    </row>
    <row r="72" spans="1:11" s="157" customFormat="1" ht="12.75">
      <c r="A72" s="361"/>
      <c r="B72" s="362"/>
      <c r="C72" s="363"/>
      <c r="D72" s="364"/>
      <c r="E72" s="363"/>
      <c r="F72" s="365"/>
      <c r="G72" s="363"/>
      <c r="H72" s="362"/>
      <c r="I72" s="363"/>
      <c r="J72" s="365"/>
      <c r="K72" s="363"/>
    </row>
    <row r="73" s="157" customFormat="1" ht="12.75">
      <c r="A73" s="366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5">
    <mergeCell ref="B1:C1"/>
    <mergeCell ref="J1:K1"/>
    <mergeCell ref="D1:E1"/>
    <mergeCell ref="F1:G1"/>
    <mergeCell ref="H1:I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  <ignoredErrors>
    <ignoredError sqref="D44:G45 H44:H45 D46:E46 F46:H46 H47 D48:E48 F47 G49 G47 D47:E47 H48 F48 I49:K49 I48:K48 G48 D49:F49 H49 G50 D50:E50 D51:D5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G77"/>
  <sheetViews>
    <sheetView showGridLines="0" zoomScalePageLayoutView="0" workbookViewId="0" topLeftCell="A1">
      <pane ySplit="1155" topLeftCell="A51" activePane="bottomLeft" state="split"/>
      <selection pane="topLeft" activeCell="B61" sqref="B61"/>
      <selection pane="bottomLeft" activeCell="A58" sqref="A58"/>
    </sheetView>
  </sheetViews>
  <sheetFormatPr defaultColWidth="9.140625" defaultRowHeight="12.75"/>
  <cols>
    <col min="1" max="1" width="7.00390625" style="1" customWidth="1"/>
    <col min="2" max="7" width="10.7109375" style="0" customWidth="1"/>
  </cols>
  <sheetData>
    <row r="1" spans="1:7" s="6" customFormat="1" ht="20.25" customHeight="1">
      <c r="A1" s="16"/>
      <c r="B1" s="389" t="s">
        <v>6</v>
      </c>
      <c r="C1" s="386"/>
      <c r="D1" s="383" t="s">
        <v>12</v>
      </c>
      <c r="E1" s="384"/>
      <c r="F1" s="383" t="s">
        <v>8</v>
      </c>
      <c r="G1" s="385"/>
    </row>
    <row r="2" spans="1:7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</row>
    <row r="3" spans="1:7" ht="17.25" customHeight="1" thickTop="1">
      <c r="A3" s="17">
        <v>1964</v>
      </c>
      <c r="B3" s="8"/>
      <c r="C3" s="9"/>
      <c r="D3" s="8"/>
      <c r="E3" s="9"/>
      <c r="F3" s="8"/>
      <c r="G3" s="9"/>
    </row>
    <row r="4" spans="1:7" ht="12.75">
      <c r="A4" s="17">
        <v>1965</v>
      </c>
      <c r="B4" s="8"/>
      <c r="C4" s="40"/>
      <c r="D4" s="8"/>
      <c r="E4" s="10"/>
      <c r="F4" s="8"/>
      <c r="G4" s="11"/>
    </row>
    <row r="5" spans="1:7" ht="12.75">
      <c r="A5" s="17">
        <v>1966</v>
      </c>
      <c r="B5" s="8"/>
      <c r="C5" s="40"/>
      <c r="D5" s="8"/>
      <c r="E5" s="10"/>
      <c r="F5" s="8"/>
      <c r="G5" s="11"/>
    </row>
    <row r="6" spans="1:7" ht="12.75">
      <c r="A6" s="17">
        <v>1967</v>
      </c>
      <c r="B6" s="8"/>
      <c r="C6" s="40"/>
      <c r="D6" s="8"/>
      <c r="E6" s="10"/>
      <c r="F6" s="8"/>
      <c r="G6" s="11"/>
    </row>
    <row r="7" spans="1:7" ht="12.75">
      <c r="A7" s="17">
        <v>1968</v>
      </c>
      <c r="B7" s="8"/>
      <c r="C7" s="40"/>
      <c r="D7" s="8"/>
      <c r="E7" s="10"/>
      <c r="F7" s="8"/>
      <c r="G7" s="11"/>
    </row>
    <row r="8" spans="1:7" ht="12.75">
      <c r="A8" s="17">
        <v>1969</v>
      </c>
      <c r="B8" s="8"/>
      <c r="C8" s="40"/>
      <c r="D8" s="8"/>
      <c r="E8" s="10"/>
      <c r="F8" s="8"/>
      <c r="G8" s="11"/>
    </row>
    <row r="9" spans="1:7" ht="12.75">
      <c r="A9" s="17">
        <v>1970</v>
      </c>
      <c r="B9" s="8"/>
      <c r="C9" s="40"/>
      <c r="D9" s="8"/>
      <c r="E9" s="10"/>
      <c r="F9" s="8"/>
      <c r="G9" s="11"/>
    </row>
    <row r="10" spans="1:7" ht="12.75">
      <c r="A10" s="17">
        <v>1971</v>
      </c>
      <c r="B10" s="8"/>
      <c r="C10" s="40"/>
      <c r="D10" s="8"/>
      <c r="E10" s="10"/>
      <c r="F10" s="8"/>
      <c r="G10" s="11"/>
    </row>
    <row r="11" spans="1:7" ht="12.75">
      <c r="A11" s="17">
        <v>1972</v>
      </c>
      <c r="B11" s="8"/>
      <c r="C11" s="40"/>
      <c r="D11" s="8"/>
      <c r="E11" s="10"/>
      <c r="F11" s="8"/>
      <c r="G11" s="11"/>
    </row>
    <row r="12" spans="1:7" ht="12.75">
      <c r="A12" s="17">
        <v>1973</v>
      </c>
      <c r="B12" s="8"/>
      <c r="C12" s="40"/>
      <c r="D12" s="8"/>
      <c r="E12" s="10"/>
      <c r="F12" s="8"/>
      <c r="G12" s="11"/>
    </row>
    <row r="13" spans="1:7" ht="12.75">
      <c r="A13" s="17">
        <v>1974</v>
      </c>
      <c r="B13" s="8"/>
      <c r="C13" s="40"/>
      <c r="D13" s="8"/>
      <c r="E13" s="10"/>
      <c r="F13" s="8"/>
      <c r="G13" s="11"/>
    </row>
    <row r="14" spans="1:7" ht="12.75">
      <c r="A14" s="17">
        <v>1975</v>
      </c>
      <c r="B14" s="8"/>
      <c r="C14" s="40"/>
      <c r="D14" s="8"/>
      <c r="E14" s="10"/>
      <c r="F14" s="8"/>
      <c r="G14" s="11"/>
    </row>
    <row r="15" spans="1:7" ht="12.75">
      <c r="A15" s="17">
        <v>1976</v>
      </c>
      <c r="B15" s="8"/>
      <c r="C15" s="40"/>
      <c r="D15" s="8"/>
      <c r="E15" s="10"/>
      <c r="F15" s="8"/>
      <c r="G15" s="11"/>
    </row>
    <row r="16" spans="1:7" ht="12.75">
      <c r="A16" s="17">
        <v>1977</v>
      </c>
      <c r="B16" s="8"/>
      <c r="C16" s="40"/>
      <c r="D16" s="8"/>
      <c r="E16" s="10"/>
      <c r="F16" s="8"/>
      <c r="G16" s="11"/>
    </row>
    <row r="17" spans="1:7" ht="12.75">
      <c r="A17" s="17">
        <v>1978</v>
      </c>
      <c r="B17" s="8"/>
      <c r="C17" s="40"/>
      <c r="D17" s="8"/>
      <c r="E17" s="10"/>
      <c r="F17" s="8"/>
      <c r="G17" s="11"/>
    </row>
    <row r="18" spans="1:7" ht="12.75">
      <c r="A18" s="17">
        <v>1979</v>
      </c>
      <c r="B18" s="8"/>
      <c r="C18" s="40"/>
      <c r="D18" s="8"/>
      <c r="E18" s="10"/>
      <c r="F18" s="8"/>
      <c r="G18" s="11"/>
    </row>
    <row r="19" spans="1:7" ht="12.75">
      <c r="A19" s="17">
        <v>1980</v>
      </c>
      <c r="B19" s="8"/>
      <c r="C19" s="40"/>
      <c r="D19" s="8"/>
      <c r="E19" s="10"/>
      <c r="F19" s="8"/>
      <c r="G19" s="11"/>
    </row>
    <row r="20" spans="1:7" ht="12.75">
      <c r="A20" s="17">
        <v>1981</v>
      </c>
      <c r="B20" s="8"/>
      <c r="C20" s="40"/>
      <c r="D20" s="8"/>
      <c r="E20" s="10"/>
      <c r="F20" s="8"/>
      <c r="G20" s="11"/>
    </row>
    <row r="21" spans="1:7" ht="12.75">
      <c r="A21" s="17">
        <v>1982</v>
      </c>
      <c r="B21" s="8"/>
      <c r="C21" s="40"/>
      <c r="D21" s="8"/>
      <c r="E21" s="10"/>
      <c r="F21" s="8"/>
      <c r="G21" s="11"/>
    </row>
    <row r="22" spans="1:7" ht="12.75">
      <c r="A22" s="17">
        <v>1983</v>
      </c>
      <c r="B22" s="8"/>
      <c r="C22" s="40"/>
      <c r="D22" s="8"/>
      <c r="E22" s="10"/>
      <c r="F22" s="8"/>
      <c r="G22" s="11"/>
    </row>
    <row r="23" spans="1:7" ht="12.75">
      <c r="A23" s="17">
        <v>1984</v>
      </c>
      <c r="B23" s="8"/>
      <c r="C23" s="40"/>
      <c r="D23" s="8"/>
      <c r="E23" s="10"/>
      <c r="F23" s="8"/>
      <c r="G23" s="11"/>
    </row>
    <row r="24" spans="1:7" ht="12.75">
      <c r="A24" s="17">
        <v>1985</v>
      </c>
      <c r="B24" s="8"/>
      <c r="C24" s="40"/>
      <c r="D24" s="8"/>
      <c r="E24" s="10"/>
      <c r="F24" s="8"/>
      <c r="G24" s="11"/>
    </row>
    <row r="25" spans="1:7" ht="12.75">
      <c r="A25" s="17">
        <v>1986</v>
      </c>
      <c r="B25" s="8"/>
      <c r="C25" s="40"/>
      <c r="D25" s="8"/>
      <c r="E25" s="10"/>
      <c r="F25" s="8"/>
      <c r="G25" s="11"/>
    </row>
    <row r="26" spans="1:7" ht="12.75">
      <c r="A26" s="17">
        <v>1987</v>
      </c>
      <c r="B26" s="62"/>
      <c r="C26" s="63"/>
      <c r="D26" s="62"/>
      <c r="E26" s="64"/>
      <c r="F26" s="62"/>
      <c r="G26" s="65"/>
    </row>
    <row r="27" spans="1:7" ht="12.75">
      <c r="A27" s="17">
        <v>1988</v>
      </c>
      <c r="B27" s="62"/>
      <c r="C27" s="63"/>
      <c r="D27" s="62"/>
      <c r="E27" s="64"/>
      <c r="F27" s="62"/>
      <c r="G27" s="65"/>
    </row>
    <row r="28" spans="1:7" ht="12.75">
      <c r="A28" s="17">
        <v>1989</v>
      </c>
      <c r="B28" s="62"/>
      <c r="C28" s="63"/>
      <c r="D28" s="62"/>
      <c r="E28" s="64"/>
      <c r="F28" s="62"/>
      <c r="G28" s="65"/>
    </row>
    <row r="29" spans="1:7" ht="12.75">
      <c r="A29" s="17">
        <v>1990</v>
      </c>
      <c r="B29" s="62"/>
      <c r="C29" s="63"/>
      <c r="D29" s="62">
        <f>'Lu-SL+DL'!J29</f>
        <v>2</v>
      </c>
      <c r="E29" s="64">
        <f>'Lu-SL+DL'!K29</f>
        <v>2</v>
      </c>
      <c r="F29" s="62">
        <f>B29+D29</f>
        <v>2</v>
      </c>
      <c r="G29" s="65">
        <f>C29+E29</f>
        <v>2</v>
      </c>
    </row>
    <row r="30" spans="1:7" ht="12.75">
      <c r="A30" s="17">
        <v>1991</v>
      </c>
      <c r="B30" s="62">
        <f>'Lu-SL+DL'!B30</f>
        <v>4</v>
      </c>
      <c r="C30" s="63">
        <f>'Lu-SL+DL'!C30</f>
        <v>4</v>
      </c>
      <c r="D30" s="62">
        <f>'Lu-SL+DL'!J30</f>
        <v>4</v>
      </c>
      <c r="E30" s="64">
        <f>'Lu-SL+DL'!K30</f>
        <v>6</v>
      </c>
      <c r="F30" s="62">
        <f aca="true" t="shared" si="0" ref="F30:F43">B30+D30</f>
        <v>8</v>
      </c>
      <c r="G30" s="65">
        <f aca="true" t="shared" si="1" ref="G30:G43">C30+E30</f>
        <v>10</v>
      </c>
    </row>
    <row r="31" spans="1:7" ht="12.75">
      <c r="A31" s="17">
        <v>1992</v>
      </c>
      <c r="B31" s="62">
        <f>'Lu-SL+DL'!B31</f>
        <v>12</v>
      </c>
      <c r="C31" s="63">
        <f>'Lu-SL+DL'!C31</f>
        <v>16</v>
      </c>
      <c r="D31" s="62">
        <f>'Lu-SL+DL'!J31</f>
        <v>10</v>
      </c>
      <c r="E31" s="64">
        <f>'Lu-SL+DL'!K31</f>
        <v>16</v>
      </c>
      <c r="F31" s="62">
        <f t="shared" si="0"/>
        <v>22</v>
      </c>
      <c r="G31" s="65">
        <f t="shared" si="1"/>
        <v>32</v>
      </c>
    </row>
    <row r="32" spans="1:7" ht="12.75">
      <c r="A32" s="17">
        <v>1993</v>
      </c>
      <c r="B32" s="62">
        <f>'Lu-SL+DL'!B32</f>
        <v>14</v>
      </c>
      <c r="C32" s="63">
        <f>'Lu-SL+DL'!C32</f>
        <v>30</v>
      </c>
      <c r="D32" s="62">
        <f>'Lu-SL+DL'!J32</f>
        <v>5</v>
      </c>
      <c r="E32" s="64">
        <f>'Lu-SL+DL'!K32</f>
        <v>21</v>
      </c>
      <c r="F32" s="62">
        <f t="shared" si="0"/>
        <v>19</v>
      </c>
      <c r="G32" s="65">
        <f t="shared" si="1"/>
        <v>51</v>
      </c>
    </row>
    <row r="33" spans="1:7" ht="12.75">
      <c r="A33" s="17">
        <v>1994</v>
      </c>
      <c r="B33" s="62">
        <f>'Lu-SL+DL'!B33</f>
        <v>16</v>
      </c>
      <c r="C33" s="63">
        <f>'Lu-SL+DL'!C33</f>
        <v>46</v>
      </c>
      <c r="D33" s="62">
        <f>'Lu-SL+DL'!J33</f>
        <v>11</v>
      </c>
      <c r="E33" s="64">
        <f>'Lu-SL+DL'!K33</f>
        <v>32</v>
      </c>
      <c r="F33" s="62">
        <f t="shared" si="0"/>
        <v>27</v>
      </c>
      <c r="G33" s="65">
        <f t="shared" si="1"/>
        <v>78</v>
      </c>
    </row>
    <row r="34" spans="1:7" ht="12.75">
      <c r="A34" s="17">
        <v>1995</v>
      </c>
      <c r="B34" s="62">
        <f>'Lu-SL+DL'!B34</f>
        <v>13</v>
      </c>
      <c r="C34" s="63">
        <f>'Lu-SL+DL'!C34</f>
        <v>59</v>
      </c>
      <c r="D34" s="62">
        <f>'Lu-SL+DL'!J34</f>
        <v>6</v>
      </c>
      <c r="E34" s="64">
        <f>'Lu-SL+DL'!K34</f>
        <v>38</v>
      </c>
      <c r="F34" s="62">
        <f t="shared" si="0"/>
        <v>19</v>
      </c>
      <c r="G34" s="65">
        <f t="shared" si="1"/>
        <v>97</v>
      </c>
    </row>
    <row r="35" spans="1:7" ht="12.75">
      <c r="A35" s="17">
        <v>1996</v>
      </c>
      <c r="B35" s="62">
        <f>'Lu-SL+DL'!B35</f>
        <v>17</v>
      </c>
      <c r="C35" s="63">
        <f>'Lu-SL+DL'!C35</f>
        <v>76</v>
      </c>
      <c r="D35" s="62">
        <f>'Lu-SL+DL'!J35</f>
        <v>6</v>
      </c>
      <c r="E35" s="64">
        <f>'Lu-SL+DL'!K35</f>
        <v>44</v>
      </c>
      <c r="F35" s="62">
        <f t="shared" si="0"/>
        <v>23</v>
      </c>
      <c r="G35" s="65">
        <f t="shared" si="1"/>
        <v>120</v>
      </c>
    </row>
    <row r="36" spans="1:7" ht="12.75">
      <c r="A36" s="17">
        <v>1997</v>
      </c>
      <c r="B36" s="62">
        <f>'Lu-SL+DL'!B36</f>
        <v>12</v>
      </c>
      <c r="C36" s="63">
        <f>'Lu-SL+DL'!C36</f>
        <v>88</v>
      </c>
      <c r="D36" s="62">
        <f>'Lu-SL+DL'!J36</f>
        <v>5</v>
      </c>
      <c r="E36" s="64">
        <f>'Lu-SL+DL'!K36</f>
        <v>49</v>
      </c>
      <c r="F36" s="62">
        <f t="shared" si="0"/>
        <v>17</v>
      </c>
      <c r="G36" s="65">
        <f t="shared" si="1"/>
        <v>137</v>
      </c>
    </row>
    <row r="37" spans="1:7" ht="12.75">
      <c r="A37" s="17">
        <v>1998</v>
      </c>
      <c r="B37" s="62">
        <f>'Lu-SL+DL'!B37</f>
        <v>23</v>
      </c>
      <c r="C37" s="63">
        <f>'Lu-SL+DL'!C37</f>
        <v>111</v>
      </c>
      <c r="D37" s="62">
        <f>'Lu-SL+DL'!J37</f>
        <v>10</v>
      </c>
      <c r="E37" s="64">
        <f>'Lu-SL+DL'!K37</f>
        <v>59</v>
      </c>
      <c r="F37" s="62">
        <f t="shared" si="0"/>
        <v>33</v>
      </c>
      <c r="G37" s="65">
        <f t="shared" si="1"/>
        <v>170</v>
      </c>
    </row>
    <row r="38" spans="1:7" ht="12.75">
      <c r="A38" s="18">
        <v>1999</v>
      </c>
      <c r="B38" s="66">
        <f>'Lu-SL+DL'!B38</f>
        <v>15</v>
      </c>
      <c r="C38" s="67">
        <f>'Lu-SL+DL'!C38</f>
        <v>126</v>
      </c>
      <c r="D38" s="66">
        <f>'Lu-SL+DL'!J38</f>
        <v>11</v>
      </c>
      <c r="E38" s="68">
        <f>'Lu-SL+DL'!K38</f>
        <v>70</v>
      </c>
      <c r="F38" s="66">
        <f t="shared" si="0"/>
        <v>26</v>
      </c>
      <c r="G38" s="69">
        <f t="shared" si="1"/>
        <v>196</v>
      </c>
    </row>
    <row r="39" spans="1:7" s="7" customFormat="1" ht="19.5" customHeight="1">
      <c r="A39" s="17">
        <v>2000</v>
      </c>
      <c r="B39" s="62">
        <f>'Lu-SL+DL'!B39</f>
        <v>14</v>
      </c>
      <c r="C39" s="63">
        <f>'Lu-SL+DL'!C39</f>
        <v>140</v>
      </c>
      <c r="D39" s="62">
        <f>'Lu-SL+DL'!J39</f>
        <v>15</v>
      </c>
      <c r="E39" s="64">
        <f>'Lu-SL+DL'!K39</f>
        <v>85</v>
      </c>
      <c r="F39" s="62">
        <f t="shared" si="0"/>
        <v>29</v>
      </c>
      <c r="G39" s="65">
        <f t="shared" si="1"/>
        <v>225</v>
      </c>
    </row>
    <row r="40" spans="1:7" ht="12.75">
      <c r="A40" s="17">
        <v>2001</v>
      </c>
      <c r="B40" s="62">
        <f>'Lu-SL+DL'!B40</f>
        <v>13</v>
      </c>
      <c r="C40" s="63">
        <f>'Lu-SL+DL'!C40</f>
        <v>153</v>
      </c>
      <c r="D40" s="62">
        <f>'Lu-SL+DL'!J40</f>
        <v>7</v>
      </c>
      <c r="E40" s="64">
        <f>'Lu-SL+DL'!K40</f>
        <v>92</v>
      </c>
      <c r="F40" s="62">
        <f t="shared" si="0"/>
        <v>20</v>
      </c>
      <c r="G40" s="65">
        <f t="shared" si="1"/>
        <v>245</v>
      </c>
    </row>
    <row r="41" spans="1:7" ht="12.75">
      <c r="A41" s="17">
        <v>2002</v>
      </c>
      <c r="B41" s="62">
        <f>'Lu-SL+DL'!B41</f>
        <v>24</v>
      </c>
      <c r="C41" s="63">
        <f>'Lu-SL+DL'!C41</f>
        <v>177</v>
      </c>
      <c r="D41" s="62">
        <f>'Lu-SL+DL'!J41</f>
        <v>26</v>
      </c>
      <c r="E41" s="64">
        <f>'Lu-SL+DL'!K41</f>
        <v>118</v>
      </c>
      <c r="F41" s="62">
        <f t="shared" si="0"/>
        <v>50</v>
      </c>
      <c r="G41" s="65">
        <f t="shared" si="1"/>
        <v>295</v>
      </c>
    </row>
    <row r="42" spans="1:7" ht="12.75">
      <c r="A42" s="17">
        <v>2003</v>
      </c>
      <c r="B42" s="62">
        <f>'Lu-SL+DL'!B42</f>
        <v>17</v>
      </c>
      <c r="C42" s="63">
        <f>'Lu-SL+DL'!C42</f>
        <v>194</v>
      </c>
      <c r="D42" s="62">
        <f>'Lu-SL+DL'!J42</f>
        <v>8</v>
      </c>
      <c r="E42" s="64">
        <f>'Lu-SL+DL'!K42</f>
        <v>126</v>
      </c>
      <c r="F42" s="62">
        <f t="shared" si="0"/>
        <v>25</v>
      </c>
      <c r="G42" s="65">
        <f t="shared" si="1"/>
        <v>320</v>
      </c>
    </row>
    <row r="43" spans="1:7" ht="12.75">
      <c r="A43" s="17">
        <v>2004</v>
      </c>
      <c r="B43" s="62">
        <f>'Lu-SL+DL'!B43</f>
        <v>18</v>
      </c>
      <c r="C43" s="63">
        <f>'Lu-SL+DL'!C43</f>
        <v>212</v>
      </c>
      <c r="D43" s="62">
        <f>'Lu-SL+DL'!J43</f>
        <v>8</v>
      </c>
      <c r="E43" s="64">
        <f>'Lu-SL+DL'!K43</f>
        <v>134</v>
      </c>
      <c r="F43" s="62">
        <f t="shared" si="0"/>
        <v>26</v>
      </c>
      <c r="G43" s="65">
        <f t="shared" si="1"/>
        <v>346</v>
      </c>
    </row>
    <row r="44" spans="1:7" s="78" customFormat="1" ht="12.75">
      <c r="A44" s="17">
        <v>2005</v>
      </c>
      <c r="B44" s="62">
        <f>'Lu-SL+DL'!B44</f>
        <v>21</v>
      </c>
      <c r="C44" s="63">
        <f>'Lu-SL+DL'!C44</f>
        <v>233</v>
      </c>
      <c r="D44" s="62">
        <f>'Lu-SL+DL'!J44</f>
        <v>16</v>
      </c>
      <c r="E44" s="64">
        <f>'Lu-SL+DL'!K44</f>
        <v>150</v>
      </c>
      <c r="F44" s="62">
        <f aca="true" t="shared" si="2" ref="F44:G46">B44+D44</f>
        <v>37</v>
      </c>
      <c r="G44" s="65">
        <f t="shared" si="2"/>
        <v>383</v>
      </c>
    </row>
    <row r="45" spans="1:7" s="78" customFormat="1" ht="12.75">
      <c r="A45" s="17">
        <v>2006</v>
      </c>
      <c r="B45" s="62">
        <f>'Lu-SL+DL'!B45</f>
        <v>32</v>
      </c>
      <c r="C45" s="63">
        <f>'Lu-SL+DL'!C45</f>
        <v>265</v>
      </c>
      <c r="D45" s="62">
        <f>'Lu-SL+DL'!J45</f>
        <v>18</v>
      </c>
      <c r="E45" s="64">
        <f>'Lu-SL+DL'!K45</f>
        <v>168</v>
      </c>
      <c r="F45" s="62">
        <f t="shared" si="2"/>
        <v>50</v>
      </c>
      <c r="G45" s="65">
        <f t="shared" si="2"/>
        <v>433</v>
      </c>
    </row>
    <row r="46" spans="1:7" s="78" customFormat="1" ht="12.75">
      <c r="A46" s="17">
        <v>2007</v>
      </c>
      <c r="B46" s="62">
        <f>'Lu-SL+DL'!B46</f>
        <v>27</v>
      </c>
      <c r="C46" s="63">
        <f>'Lu-SL+DL'!C46</f>
        <v>292</v>
      </c>
      <c r="D46" s="62">
        <f>'Lu-SL+DL'!J46</f>
        <v>16</v>
      </c>
      <c r="E46" s="64">
        <f>'Lu-SL+DL'!K46</f>
        <v>184</v>
      </c>
      <c r="F46" s="62">
        <f t="shared" si="2"/>
        <v>43</v>
      </c>
      <c r="G46" s="65">
        <f t="shared" si="2"/>
        <v>476</v>
      </c>
    </row>
    <row r="47" spans="1:7" s="78" customFormat="1" ht="12.75">
      <c r="A47" s="17">
        <v>2008</v>
      </c>
      <c r="B47" s="62">
        <f>'Lu-SL+DL'!B47</f>
        <v>34</v>
      </c>
      <c r="C47" s="63">
        <f>'Lu-SL+DL'!C47</f>
        <v>326</v>
      </c>
      <c r="D47" s="62">
        <f>'Lu-SL+DL'!J47</f>
        <v>17</v>
      </c>
      <c r="E47" s="64">
        <f>'Lu-SL+DL'!K47</f>
        <v>201</v>
      </c>
      <c r="F47" s="62">
        <f aca="true" t="shared" si="3" ref="F47:G49">B47+D47</f>
        <v>51</v>
      </c>
      <c r="G47" s="65">
        <f t="shared" si="3"/>
        <v>527</v>
      </c>
    </row>
    <row r="48" spans="1:7" s="78" customFormat="1" ht="12.75">
      <c r="A48" s="17">
        <v>2009</v>
      </c>
      <c r="B48" s="62">
        <f>'Lu-SL+DL'!B48</f>
        <v>36</v>
      </c>
      <c r="C48" s="63">
        <f>'Lu-SL+DL'!C48</f>
        <v>362</v>
      </c>
      <c r="D48" s="62">
        <f>'Lu-SL+DL'!J48</f>
        <v>14</v>
      </c>
      <c r="E48" s="64">
        <f>'Lu-SL+DL'!K48</f>
        <v>215</v>
      </c>
      <c r="F48" s="62">
        <f t="shared" si="3"/>
        <v>50</v>
      </c>
      <c r="G48" s="65">
        <f t="shared" si="3"/>
        <v>577</v>
      </c>
    </row>
    <row r="49" spans="1:7" s="78" customFormat="1" ht="12.75">
      <c r="A49" s="17">
        <v>2010</v>
      </c>
      <c r="B49" s="62">
        <f>'Lu-SL+DL'!B49</f>
        <v>38</v>
      </c>
      <c r="C49" s="63">
        <f>'Lu-SL+DL'!C49</f>
        <v>400</v>
      </c>
      <c r="D49" s="151">
        <f>'Lu-SL+DL'!J49</f>
        <v>13</v>
      </c>
      <c r="E49" s="64">
        <f>'Lu-SL+DL'!K49</f>
        <v>228</v>
      </c>
      <c r="F49" s="62">
        <f t="shared" si="3"/>
        <v>51</v>
      </c>
      <c r="G49" s="65">
        <f t="shared" si="3"/>
        <v>628</v>
      </c>
    </row>
    <row r="50" spans="1:7" s="179" customFormat="1" ht="12.75">
      <c r="A50" s="171">
        <v>2011</v>
      </c>
      <c r="B50" s="175">
        <f>'Lu-SL+DL'!B50</f>
        <v>38</v>
      </c>
      <c r="C50" s="141">
        <f>'Lu-SL+DL'!C50</f>
        <v>438</v>
      </c>
      <c r="D50" s="175">
        <f>'Lu-SL+DL'!J50</f>
        <v>21</v>
      </c>
      <c r="E50" s="140">
        <f>'Lu-SL+DL'!K50</f>
        <v>249</v>
      </c>
      <c r="F50" s="175">
        <f aca="true" t="shared" si="4" ref="F50:G52">B50+D50</f>
        <v>59</v>
      </c>
      <c r="G50" s="147">
        <f t="shared" si="4"/>
        <v>687</v>
      </c>
    </row>
    <row r="51" spans="1:7" s="179" customFormat="1" ht="12.75">
      <c r="A51" s="171">
        <v>2012</v>
      </c>
      <c r="B51" s="175">
        <f>'Lu-SL+DL'!B51</f>
        <v>44</v>
      </c>
      <c r="C51" s="141">
        <f>'Lu-SL+DL'!C51</f>
        <v>482</v>
      </c>
      <c r="D51" s="175">
        <f>'Lu-SL+DL'!J51</f>
        <v>15</v>
      </c>
      <c r="E51" s="140">
        <f>'Lu-SL+DL'!K51</f>
        <v>264</v>
      </c>
      <c r="F51" s="175">
        <f t="shared" si="4"/>
        <v>59</v>
      </c>
      <c r="G51" s="147">
        <f t="shared" si="4"/>
        <v>746</v>
      </c>
    </row>
    <row r="52" spans="1:7" s="179" customFormat="1" ht="12.75">
      <c r="A52" s="171">
        <v>2013</v>
      </c>
      <c r="B52" s="175">
        <f>'Lu-SL+DL'!B52</f>
        <v>42</v>
      </c>
      <c r="C52" s="141">
        <f>'Lu-SL+DL'!C52</f>
        <v>524</v>
      </c>
      <c r="D52" s="175">
        <f>'Lu-SL+DL'!J52</f>
        <v>16</v>
      </c>
      <c r="E52" s="140">
        <f>'Lu-SL+DL'!K52</f>
        <v>280</v>
      </c>
      <c r="F52" s="175">
        <f t="shared" si="4"/>
        <v>58</v>
      </c>
      <c r="G52" s="147">
        <f t="shared" si="4"/>
        <v>804</v>
      </c>
    </row>
    <row r="53" spans="1:7" s="179" customFormat="1" ht="12.75">
      <c r="A53" s="171">
        <v>2014</v>
      </c>
      <c r="B53" s="175">
        <f>'Lu-SL+DL'!B53</f>
        <v>47</v>
      </c>
      <c r="C53" s="141">
        <f>'Lu-SL+DL'!C53</f>
        <v>571</v>
      </c>
      <c r="D53" s="175">
        <f>'Lu-SL+DL'!J53</f>
        <v>17</v>
      </c>
      <c r="E53" s="140">
        <f>'Lu-SL+DL'!K53</f>
        <v>297</v>
      </c>
      <c r="F53" s="175">
        <f aca="true" t="shared" si="5" ref="F53:G55">B53+D53</f>
        <v>64</v>
      </c>
      <c r="G53" s="147">
        <f t="shared" si="5"/>
        <v>868</v>
      </c>
    </row>
    <row r="54" spans="1:7" s="179" customFormat="1" ht="12.75">
      <c r="A54" s="171">
        <v>2015</v>
      </c>
      <c r="B54" s="175">
        <f>'Lu-SL+DL'!B54</f>
        <v>37</v>
      </c>
      <c r="C54" s="141">
        <f>'Lu-SL+DL'!C54</f>
        <v>608</v>
      </c>
      <c r="D54" s="175">
        <f>'Lu-SL+DL'!J54</f>
        <v>10</v>
      </c>
      <c r="E54" s="140">
        <f>'Lu-SL+DL'!K54</f>
        <v>307</v>
      </c>
      <c r="F54" s="175">
        <f t="shared" si="5"/>
        <v>47</v>
      </c>
      <c r="G54" s="147">
        <f t="shared" si="5"/>
        <v>915</v>
      </c>
    </row>
    <row r="55" spans="1:7" s="179" customFormat="1" ht="12.75">
      <c r="A55" s="17">
        <v>2016</v>
      </c>
      <c r="B55" s="175">
        <f>'Lu-SL+DL'!B55</f>
        <v>40</v>
      </c>
      <c r="C55" s="141">
        <f>'Lu-SL+DL'!C55</f>
        <v>648</v>
      </c>
      <c r="D55" s="175">
        <f>'Lu-SL+DL'!J55</f>
        <v>22</v>
      </c>
      <c r="E55" s="140">
        <f>'Lu-SL+DL'!K55</f>
        <v>329</v>
      </c>
      <c r="F55" s="175">
        <f t="shared" si="5"/>
        <v>62</v>
      </c>
      <c r="G55" s="147">
        <f t="shared" si="5"/>
        <v>977</v>
      </c>
    </row>
    <row r="56" spans="1:7" s="179" customFormat="1" ht="12.75">
      <c r="A56" s="17">
        <v>2017</v>
      </c>
      <c r="B56" s="177">
        <f>'Lu-SL+DL'!B56</f>
        <v>42</v>
      </c>
      <c r="C56" s="141">
        <f>'Lu-SL+DL'!C56</f>
        <v>690</v>
      </c>
      <c r="D56" s="175">
        <f>'Lu-SL+DL'!J56</f>
        <v>23</v>
      </c>
      <c r="E56" s="140">
        <f>'Lu-SL+DL'!K56</f>
        <v>352</v>
      </c>
      <c r="F56" s="175">
        <f aca="true" t="shared" si="6" ref="F56:G58">B56+D56</f>
        <v>65</v>
      </c>
      <c r="G56" s="147">
        <f t="shared" si="6"/>
        <v>1042</v>
      </c>
    </row>
    <row r="57" spans="1:7" s="179" customFormat="1" ht="12.75">
      <c r="A57" s="17">
        <v>2018</v>
      </c>
      <c r="B57" s="177">
        <f>'Lu-SL+DL'!B57</f>
        <v>55</v>
      </c>
      <c r="C57" s="141">
        <f>'Lu-SL+DL'!C57</f>
        <v>745</v>
      </c>
      <c r="D57" s="175">
        <f>'Lu-SL+DL'!J57</f>
        <v>19</v>
      </c>
      <c r="E57" s="140">
        <f>'Lu-SL+DL'!K57</f>
        <v>371</v>
      </c>
      <c r="F57" s="175">
        <f t="shared" si="6"/>
        <v>74</v>
      </c>
      <c r="G57" s="147">
        <f t="shared" si="6"/>
        <v>1116</v>
      </c>
    </row>
    <row r="58" spans="1:7" s="179" customFormat="1" ht="12.75">
      <c r="A58" s="17">
        <v>2019</v>
      </c>
      <c r="B58" s="177">
        <f>'Lu-SL+DL'!B58</f>
        <v>40</v>
      </c>
      <c r="C58" s="141">
        <f>'Lu-SL+DL'!C58</f>
        <v>785</v>
      </c>
      <c r="D58" s="175">
        <f>'Lu-SL+DL'!J58</f>
        <v>15</v>
      </c>
      <c r="E58" s="140">
        <f>'Lu-SL+DL'!K58</f>
        <v>386</v>
      </c>
      <c r="F58" s="175">
        <f t="shared" si="6"/>
        <v>55</v>
      </c>
      <c r="G58" s="147">
        <f t="shared" si="6"/>
        <v>1171</v>
      </c>
    </row>
    <row r="59" spans="1:7" s="179" customFormat="1" ht="12.75">
      <c r="A59" s="243">
        <v>2020</v>
      </c>
      <c r="B59" s="197">
        <f>'Lu-SL+DL'!B59</f>
        <v>10</v>
      </c>
      <c r="C59" s="165">
        <f>'Lu-SL+DL'!C59</f>
        <v>795</v>
      </c>
      <c r="D59" s="190">
        <f>'Lu-SL+DL'!J59</f>
        <v>2</v>
      </c>
      <c r="E59" s="192">
        <f>'Lu-SL+DL'!K59</f>
        <v>388</v>
      </c>
      <c r="F59" s="190">
        <f>B59+D59</f>
        <v>12</v>
      </c>
      <c r="G59" s="193">
        <f>C59+E59</f>
        <v>1183</v>
      </c>
    </row>
    <row r="60" spans="1:7" ht="12.75">
      <c r="A60" s="17"/>
      <c r="B60" s="8"/>
      <c r="C60" s="11"/>
      <c r="D60" s="8"/>
      <c r="E60" s="30"/>
      <c r="F60" s="37"/>
      <c r="G60" s="30"/>
    </row>
    <row r="61" spans="1:7" ht="12.75">
      <c r="A61" s="17"/>
      <c r="B61" s="8"/>
      <c r="C61" s="11"/>
      <c r="D61" s="8"/>
      <c r="E61" s="30"/>
      <c r="F61" s="37"/>
      <c r="G61" s="30"/>
    </row>
    <row r="62" spans="1:7" ht="12.75">
      <c r="A62" s="17"/>
      <c r="B62" s="8"/>
      <c r="C62" s="29"/>
      <c r="D62" s="8"/>
      <c r="E62" s="30"/>
      <c r="F62" s="37"/>
      <c r="G62" s="30"/>
    </row>
    <row r="63" spans="1:7" ht="12.75">
      <c r="A63" s="17"/>
      <c r="B63" s="8"/>
      <c r="C63" s="29"/>
      <c r="D63" s="8"/>
      <c r="E63" s="30"/>
      <c r="F63" s="37"/>
      <c r="G63" s="30"/>
    </row>
    <row r="64" spans="1:7" ht="12.75">
      <c r="A64" s="17"/>
      <c r="B64" s="8"/>
      <c r="C64" s="29"/>
      <c r="D64" s="8"/>
      <c r="E64" s="30"/>
      <c r="F64" s="37"/>
      <c r="G64" s="30"/>
    </row>
    <row r="65" spans="1:7" ht="12.75">
      <c r="A65" s="17"/>
      <c r="B65" s="8"/>
      <c r="C65" s="29"/>
      <c r="D65" s="8"/>
      <c r="E65" s="30"/>
      <c r="F65" s="37"/>
      <c r="G65" s="30"/>
    </row>
    <row r="66" spans="1:7" ht="12.75">
      <c r="A66" s="17"/>
      <c r="B66" s="8"/>
      <c r="C66" s="29"/>
      <c r="D66" s="8"/>
      <c r="E66" s="30"/>
      <c r="F66" s="37"/>
      <c r="G66" s="30"/>
    </row>
    <row r="67" spans="1:7" ht="12.75">
      <c r="A67" s="17"/>
      <c r="B67" s="8"/>
      <c r="C67" s="29"/>
      <c r="D67" s="8"/>
      <c r="E67" s="30"/>
      <c r="F67" s="37"/>
      <c r="G67" s="30"/>
    </row>
    <row r="68" spans="1:7" ht="12.75">
      <c r="A68" s="17"/>
      <c r="B68" s="8"/>
      <c r="C68" s="29"/>
      <c r="D68" s="8"/>
      <c r="E68" s="30"/>
      <c r="F68" s="37"/>
      <c r="G68" s="30"/>
    </row>
    <row r="69" spans="1:7" ht="12.75">
      <c r="A69" s="17"/>
      <c r="B69" s="8"/>
      <c r="C69" s="29"/>
      <c r="D69" s="8"/>
      <c r="E69" s="30"/>
      <c r="F69" s="37"/>
      <c r="G69" s="30"/>
    </row>
    <row r="70" spans="1:7" ht="12.75">
      <c r="A70" s="17"/>
      <c r="B70" s="8"/>
      <c r="C70" s="29"/>
      <c r="D70" s="8"/>
      <c r="E70" s="30"/>
      <c r="F70" s="37"/>
      <c r="G70" s="30"/>
    </row>
    <row r="71" spans="1:7" ht="12.75">
      <c r="A71" s="17"/>
      <c r="B71" s="8"/>
      <c r="C71" s="29"/>
      <c r="D71" s="8"/>
      <c r="E71" s="30"/>
      <c r="F71" s="37"/>
      <c r="G71" s="30"/>
    </row>
    <row r="72" spans="1:7" ht="12.75">
      <c r="A72" s="18"/>
      <c r="B72" s="42"/>
      <c r="C72" s="32"/>
      <c r="D72" s="42"/>
      <c r="E72" s="33"/>
      <c r="F72" s="38"/>
      <c r="G72" s="33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3">
    <mergeCell ref="B1:C1"/>
    <mergeCell ref="F1:G1"/>
    <mergeCell ref="D1:E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Y339"/>
  <sheetViews>
    <sheetView showGridLines="0" zoomScalePageLayoutView="0" workbookViewId="0" topLeftCell="A1">
      <pane ySplit="1155" topLeftCell="A40" activePane="bottomLeft" state="split"/>
      <selection pane="topLeft" activeCell="B61" sqref="B61"/>
      <selection pane="bottomLeft" activeCell="G44" sqref="G44"/>
    </sheetView>
  </sheetViews>
  <sheetFormatPr defaultColWidth="9.140625" defaultRowHeight="12.75"/>
  <cols>
    <col min="1" max="1" width="5.421875" style="1" customWidth="1"/>
    <col min="2" max="3" width="6.28125" style="0" customWidth="1"/>
    <col min="4" max="6" width="7.28125" style="0" customWidth="1"/>
    <col min="7" max="11" width="6.28125" style="0" customWidth="1"/>
    <col min="12" max="14" width="7.28125" style="0" customWidth="1"/>
    <col min="15" max="19" width="6.28125" style="0" customWidth="1"/>
    <col min="20" max="22" width="7.28125" style="0" customWidth="1"/>
    <col min="23" max="25" width="6.28125" style="0" customWidth="1"/>
  </cols>
  <sheetData>
    <row r="1" spans="1:25" s="6" customFormat="1" ht="20.25" customHeight="1">
      <c r="A1" s="16"/>
      <c r="B1" s="383" t="s">
        <v>6</v>
      </c>
      <c r="C1" s="384"/>
      <c r="D1" s="384"/>
      <c r="E1" s="384"/>
      <c r="F1" s="384"/>
      <c r="G1" s="384"/>
      <c r="H1" s="384"/>
      <c r="I1" s="269"/>
      <c r="J1" s="383" t="s">
        <v>12</v>
      </c>
      <c r="K1" s="384"/>
      <c r="L1" s="384"/>
      <c r="M1" s="384"/>
      <c r="N1" s="384"/>
      <c r="O1" s="384"/>
      <c r="P1" s="384"/>
      <c r="Q1" s="269"/>
      <c r="R1" s="383" t="s">
        <v>8</v>
      </c>
      <c r="S1" s="384"/>
      <c r="T1" s="384"/>
      <c r="U1" s="384"/>
      <c r="V1" s="384"/>
      <c r="W1" s="384"/>
      <c r="X1" s="384"/>
      <c r="Y1" s="385"/>
    </row>
    <row r="2" spans="1:25" s="2" customFormat="1" ht="25.5" customHeight="1" thickBot="1">
      <c r="A2" s="5" t="s">
        <v>9</v>
      </c>
      <c r="B2" s="3" t="s">
        <v>0</v>
      </c>
      <c r="C2" s="4" t="s">
        <v>1</v>
      </c>
      <c r="D2" s="273" t="s">
        <v>52</v>
      </c>
      <c r="E2" s="273" t="s">
        <v>53</v>
      </c>
      <c r="F2" s="273" t="s">
        <v>54</v>
      </c>
      <c r="G2" s="5" t="s">
        <v>13</v>
      </c>
      <c r="H2" s="5" t="s">
        <v>14</v>
      </c>
      <c r="I2" s="45" t="s">
        <v>55</v>
      </c>
      <c r="J2" s="3" t="s">
        <v>0</v>
      </c>
      <c r="K2" s="4" t="s">
        <v>1</v>
      </c>
      <c r="L2" s="273" t="s">
        <v>52</v>
      </c>
      <c r="M2" s="273" t="s">
        <v>53</v>
      </c>
      <c r="N2" s="273" t="s">
        <v>54</v>
      </c>
      <c r="O2" s="5" t="s">
        <v>13</v>
      </c>
      <c r="P2" s="5" t="s">
        <v>14</v>
      </c>
      <c r="Q2" s="45" t="s">
        <v>55</v>
      </c>
      <c r="R2" s="3" t="s">
        <v>0</v>
      </c>
      <c r="S2" s="4" t="s">
        <v>1</v>
      </c>
      <c r="T2" s="273" t="s">
        <v>52</v>
      </c>
      <c r="U2" s="273" t="s">
        <v>53</v>
      </c>
      <c r="V2" s="273" t="s">
        <v>54</v>
      </c>
      <c r="W2" s="5" t="s">
        <v>13</v>
      </c>
      <c r="X2" s="5" t="s">
        <v>14</v>
      </c>
      <c r="Y2" s="272" t="s">
        <v>55</v>
      </c>
    </row>
    <row r="3" spans="1:25" ht="17.25" customHeight="1" thickTop="1">
      <c r="A3" s="17">
        <v>1964</v>
      </c>
      <c r="B3" s="8"/>
      <c r="C3" s="9"/>
      <c r="D3" s="9"/>
      <c r="E3" s="9"/>
      <c r="F3" s="9"/>
      <c r="G3" s="9"/>
      <c r="H3" s="19"/>
      <c r="I3" s="270"/>
      <c r="J3" s="22"/>
      <c r="K3" s="9"/>
      <c r="L3" s="9"/>
      <c r="M3" s="9"/>
      <c r="N3" s="9"/>
      <c r="O3" s="9"/>
      <c r="P3" s="9"/>
      <c r="Q3" s="44"/>
      <c r="R3" s="8"/>
      <c r="S3" s="9"/>
      <c r="T3" s="9"/>
      <c r="U3" s="9"/>
      <c r="V3" s="9"/>
      <c r="W3" s="9"/>
      <c r="X3" s="9"/>
      <c r="Y3" s="30"/>
    </row>
    <row r="4" spans="1:25" ht="12.75">
      <c r="A4" s="17">
        <v>1965</v>
      </c>
      <c r="B4" s="8"/>
      <c r="C4" s="10"/>
      <c r="D4" s="11"/>
      <c r="E4" s="11"/>
      <c r="F4" s="11"/>
      <c r="G4" s="11"/>
      <c r="H4" s="10"/>
      <c r="I4" s="40"/>
      <c r="J4" s="8"/>
      <c r="K4" s="10"/>
      <c r="L4" s="11"/>
      <c r="M4" s="11"/>
      <c r="N4" s="11"/>
      <c r="O4" s="11"/>
      <c r="P4" s="11"/>
      <c r="Q4" s="44"/>
      <c r="R4" s="8"/>
      <c r="S4" s="10"/>
      <c r="T4" s="11"/>
      <c r="U4" s="11"/>
      <c r="V4" s="11"/>
      <c r="W4" s="11"/>
      <c r="X4" s="11"/>
      <c r="Y4" s="30"/>
    </row>
    <row r="5" spans="1:25" ht="12.75">
      <c r="A5" s="17">
        <v>1966</v>
      </c>
      <c r="B5" s="8"/>
      <c r="C5" s="10"/>
      <c r="D5" s="11"/>
      <c r="E5" s="11"/>
      <c r="F5" s="11"/>
      <c r="G5" s="11"/>
      <c r="H5" s="10"/>
      <c r="I5" s="40"/>
      <c r="J5" s="8"/>
      <c r="K5" s="10"/>
      <c r="L5" s="11"/>
      <c r="M5" s="11"/>
      <c r="N5" s="11"/>
      <c r="O5" s="11"/>
      <c r="P5" s="11"/>
      <c r="Q5" s="44"/>
      <c r="R5" s="8"/>
      <c r="S5" s="10"/>
      <c r="T5" s="11"/>
      <c r="U5" s="11"/>
      <c r="V5" s="11"/>
      <c r="W5" s="11"/>
      <c r="X5" s="11"/>
      <c r="Y5" s="30"/>
    </row>
    <row r="6" spans="1:25" ht="12.75">
      <c r="A6" s="17">
        <v>1967</v>
      </c>
      <c r="B6" s="8"/>
      <c r="C6" s="10"/>
      <c r="D6" s="11"/>
      <c r="E6" s="11"/>
      <c r="F6" s="11"/>
      <c r="G6" s="11"/>
      <c r="H6" s="10"/>
      <c r="I6" s="40"/>
      <c r="J6" s="8"/>
      <c r="K6" s="10"/>
      <c r="L6" s="11"/>
      <c r="M6" s="11"/>
      <c r="N6" s="11"/>
      <c r="O6" s="11"/>
      <c r="P6" s="11"/>
      <c r="Q6" s="44"/>
      <c r="R6" s="8"/>
      <c r="S6" s="10"/>
      <c r="T6" s="11"/>
      <c r="U6" s="11"/>
      <c r="V6" s="11"/>
      <c r="W6" s="11"/>
      <c r="X6" s="11"/>
      <c r="Y6" s="30"/>
    </row>
    <row r="7" spans="1:25" ht="12.75">
      <c r="A7" s="17">
        <v>1968</v>
      </c>
      <c r="B7" s="62"/>
      <c r="C7" s="64"/>
      <c r="D7" s="65"/>
      <c r="E7" s="65"/>
      <c r="F7" s="65"/>
      <c r="G7" s="65"/>
      <c r="H7" s="64"/>
      <c r="I7" s="63"/>
      <c r="J7" s="62"/>
      <c r="K7" s="64"/>
      <c r="L7" s="65"/>
      <c r="M7" s="65"/>
      <c r="N7" s="65"/>
      <c r="O7" s="65"/>
      <c r="P7" s="65"/>
      <c r="Q7" s="93"/>
      <c r="R7" s="62"/>
      <c r="S7" s="64"/>
      <c r="T7" s="65"/>
      <c r="U7" s="65"/>
      <c r="V7" s="65"/>
      <c r="W7" s="65"/>
      <c r="X7" s="65"/>
      <c r="Y7" s="30"/>
    </row>
    <row r="8" spans="1:25" ht="12.75">
      <c r="A8" s="17">
        <v>1969</v>
      </c>
      <c r="B8" s="62"/>
      <c r="C8" s="64"/>
      <c r="D8" s="65"/>
      <c r="E8" s="65"/>
      <c r="F8" s="65"/>
      <c r="G8" s="65"/>
      <c r="H8" s="64"/>
      <c r="I8" s="63"/>
      <c r="J8" s="62"/>
      <c r="K8" s="64"/>
      <c r="L8" s="65"/>
      <c r="M8" s="65"/>
      <c r="N8" s="65"/>
      <c r="O8" s="65"/>
      <c r="P8" s="65"/>
      <c r="Q8" s="93"/>
      <c r="R8" s="62"/>
      <c r="S8" s="64"/>
      <c r="T8" s="65"/>
      <c r="U8" s="65"/>
      <c r="V8" s="65"/>
      <c r="W8" s="65"/>
      <c r="X8" s="65"/>
      <c r="Y8" s="30"/>
    </row>
    <row r="9" spans="1:25" ht="12.75">
      <c r="A9" s="17">
        <v>1970</v>
      </c>
      <c r="B9" s="62"/>
      <c r="C9" s="64"/>
      <c r="D9" s="65"/>
      <c r="E9" s="65"/>
      <c r="F9" s="65"/>
      <c r="G9" s="65"/>
      <c r="H9" s="64"/>
      <c r="I9" s="63"/>
      <c r="J9" s="62"/>
      <c r="K9" s="64"/>
      <c r="L9" s="65"/>
      <c r="M9" s="65"/>
      <c r="N9" s="65"/>
      <c r="O9" s="65"/>
      <c r="P9" s="65"/>
      <c r="Q9" s="93"/>
      <c r="R9" s="62"/>
      <c r="S9" s="64"/>
      <c r="T9" s="65"/>
      <c r="U9" s="65"/>
      <c r="V9" s="65"/>
      <c r="W9" s="65"/>
      <c r="X9" s="65"/>
      <c r="Y9" s="30"/>
    </row>
    <row r="10" spans="1:25" ht="12.75">
      <c r="A10" s="17">
        <v>1971</v>
      </c>
      <c r="B10" s="62"/>
      <c r="C10" s="64"/>
      <c r="D10" s="65"/>
      <c r="E10" s="65"/>
      <c r="F10" s="65"/>
      <c r="G10" s="65"/>
      <c r="H10" s="64"/>
      <c r="I10" s="63"/>
      <c r="J10" s="62"/>
      <c r="K10" s="64"/>
      <c r="L10" s="65"/>
      <c r="M10" s="65"/>
      <c r="N10" s="65"/>
      <c r="O10" s="65"/>
      <c r="P10" s="65"/>
      <c r="Q10" s="93"/>
      <c r="R10" s="62"/>
      <c r="S10" s="64"/>
      <c r="T10" s="65"/>
      <c r="U10" s="65"/>
      <c r="V10" s="65"/>
      <c r="W10" s="65"/>
      <c r="X10" s="65"/>
      <c r="Y10" s="30"/>
    </row>
    <row r="11" spans="1:25" ht="12.75">
      <c r="A11" s="17">
        <v>1972</v>
      </c>
      <c r="B11" s="62"/>
      <c r="C11" s="64"/>
      <c r="D11" s="65"/>
      <c r="E11" s="65"/>
      <c r="F11" s="65"/>
      <c r="G11" s="65"/>
      <c r="H11" s="64"/>
      <c r="I11" s="63"/>
      <c r="J11" s="62"/>
      <c r="K11" s="64"/>
      <c r="L11" s="65"/>
      <c r="M11" s="65"/>
      <c r="N11" s="65"/>
      <c r="O11" s="65"/>
      <c r="P11" s="65"/>
      <c r="Q11" s="93"/>
      <c r="R11" s="62"/>
      <c r="S11" s="64"/>
      <c r="T11" s="65"/>
      <c r="U11" s="65"/>
      <c r="V11" s="65"/>
      <c r="W11" s="65"/>
      <c r="X11" s="65"/>
      <c r="Y11" s="30"/>
    </row>
    <row r="12" spans="1:25" ht="12.75">
      <c r="A12" s="17">
        <v>1973</v>
      </c>
      <c r="B12" s="62"/>
      <c r="C12" s="64"/>
      <c r="D12" s="65"/>
      <c r="E12" s="65"/>
      <c r="F12" s="65"/>
      <c r="G12" s="65"/>
      <c r="H12" s="64"/>
      <c r="I12" s="63"/>
      <c r="J12" s="62"/>
      <c r="K12" s="64"/>
      <c r="L12" s="65"/>
      <c r="M12" s="65"/>
      <c r="N12" s="65"/>
      <c r="O12" s="65"/>
      <c r="P12" s="65"/>
      <c r="Q12" s="93"/>
      <c r="R12" s="62"/>
      <c r="S12" s="64"/>
      <c r="T12" s="65"/>
      <c r="U12" s="65"/>
      <c r="V12" s="65"/>
      <c r="W12" s="65"/>
      <c r="X12" s="65"/>
      <c r="Y12" s="30"/>
    </row>
    <row r="13" spans="1:25" ht="12.75">
      <c r="A13" s="17">
        <v>1974</v>
      </c>
      <c r="B13" s="62"/>
      <c r="C13" s="64"/>
      <c r="D13" s="65"/>
      <c r="E13" s="65"/>
      <c r="F13" s="65"/>
      <c r="G13" s="65"/>
      <c r="H13" s="64"/>
      <c r="I13" s="63"/>
      <c r="J13" s="62"/>
      <c r="K13" s="64"/>
      <c r="L13" s="65"/>
      <c r="M13" s="65"/>
      <c r="N13" s="65"/>
      <c r="O13" s="65"/>
      <c r="P13" s="65"/>
      <c r="Q13" s="93"/>
      <c r="R13" s="62"/>
      <c r="S13" s="64"/>
      <c r="T13" s="65"/>
      <c r="U13" s="65"/>
      <c r="V13" s="65"/>
      <c r="W13" s="65"/>
      <c r="X13" s="65"/>
      <c r="Y13" s="30"/>
    </row>
    <row r="14" spans="1:25" ht="12.75">
      <c r="A14" s="17">
        <v>1975</v>
      </c>
      <c r="B14" s="62"/>
      <c r="C14" s="64"/>
      <c r="D14" s="65"/>
      <c r="E14" s="65"/>
      <c r="F14" s="65"/>
      <c r="G14" s="65"/>
      <c r="H14" s="64"/>
      <c r="I14" s="63"/>
      <c r="J14" s="62"/>
      <c r="K14" s="64"/>
      <c r="L14" s="65"/>
      <c r="M14" s="65"/>
      <c r="N14" s="65"/>
      <c r="O14" s="65"/>
      <c r="P14" s="65"/>
      <c r="Q14" s="93"/>
      <c r="R14" s="62"/>
      <c r="S14" s="64"/>
      <c r="T14" s="65"/>
      <c r="U14" s="65"/>
      <c r="V14" s="65"/>
      <c r="W14" s="65"/>
      <c r="X14" s="65"/>
      <c r="Y14" s="30"/>
    </row>
    <row r="15" spans="1:25" ht="12.75">
      <c r="A15" s="17">
        <v>1976</v>
      </c>
      <c r="B15" s="62"/>
      <c r="C15" s="64"/>
      <c r="D15" s="65"/>
      <c r="E15" s="65"/>
      <c r="F15" s="65"/>
      <c r="G15" s="65"/>
      <c r="H15" s="64"/>
      <c r="I15" s="63"/>
      <c r="J15" s="62"/>
      <c r="K15" s="64"/>
      <c r="L15" s="65"/>
      <c r="M15" s="65"/>
      <c r="N15" s="65"/>
      <c r="O15" s="65"/>
      <c r="P15" s="65"/>
      <c r="Q15" s="93"/>
      <c r="R15" s="62"/>
      <c r="S15" s="64"/>
      <c r="T15" s="65"/>
      <c r="U15" s="65"/>
      <c r="V15" s="65"/>
      <c r="W15" s="65"/>
      <c r="X15" s="65"/>
      <c r="Y15" s="30"/>
    </row>
    <row r="16" spans="1:25" ht="12.75">
      <c r="A16" s="17">
        <v>1977</v>
      </c>
      <c r="B16" s="62"/>
      <c r="C16" s="64"/>
      <c r="D16" s="65"/>
      <c r="E16" s="65"/>
      <c r="F16" s="65"/>
      <c r="G16" s="65"/>
      <c r="H16" s="64"/>
      <c r="I16" s="63"/>
      <c r="J16" s="62"/>
      <c r="K16" s="64"/>
      <c r="L16" s="65"/>
      <c r="M16" s="65"/>
      <c r="N16" s="65"/>
      <c r="O16" s="65"/>
      <c r="P16" s="65"/>
      <c r="Q16" s="93"/>
      <c r="R16" s="62"/>
      <c r="S16" s="64"/>
      <c r="T16" s="65"/>
      <c r="U16" s="65"/>
      <c r="V16" s="65"/>
      <c r="W16" s="65"/>
      <c r="X16" s="65"/>
      <c r="Y16" s="30"/>
    </row>
    <row r="17" spans="1:25" ht="12.75">
      <c r="A17" s="17">
        <v>1978</v>
      </c>
      <c r="B17" s="62"/>
      <c r="C17" s="64"/>
      <c r="D17" s="65"/>
      <c r="E17" s="65"/>
      <c r="F17" s="65"/>
      <c r="G17" s="65"/>
      <c r="H17" s="64"/>
      <c r="I17" s="63"/>
      <c r="J17" s="62"/>
      <c r="K17" s="64"/>
      <c r="L17" s="65"/>
      <c r="M17" s="65"/>
      <c r="N17" s="65"/>
      <c r="O17" s="65"/>
      <c r="P17" s="65"/>
      <c r="Q17" s="93"/>
      <c r="R17" s="62"/>
      <c r="S17" s="64"/>
      <c r="T17" s="65"/>
      <c r="U17" s="65"/>
      <c r="V17" s="65"/>
      <c r="W17" s="65"/>
      <c r="X17" s="65"/>
      <c r="Y17" s="30"/>
    </row>
    <row r="18" spans="1:25" ht="12.75">
      <c r="A18" s="17">
        <v>1979</v>
      </c>
      <c r="B18" s="62"/>
      <c r="C18" s="64"/>
      <c r="D18" s="65"/>
      <c r="E18" s="65"/>
      <c r="F18" s="65"/>
      <c r="G18" s="65"/>
      <c r="H18" s="64"/>
      <c r="I18" s="63"/>
      <c r="J18" s="62"/>
      <c r="K18" s="64"/>
      <c r="L18" s="65"/>
      <c r="M18" s="65"/>
      <c r="N18" s="65"/>
      <c r="O18" s="65"/>
      <c r="P18" s="65"/>
      <c r="Q18" s="93"/>
      <c r="R18" s="62"/>
      <c r="S18" s="64"/>
      <c r="T18" s="65"/>
      <c r="U18" s="65"/>
      <c r="V18" s="65"/>
      <c r="W18" s="65"/>
      <c r="X18" s="65"/>
      <c r="Y18" s="30"/>
    </row>
    <row r="19" spans="1:25" ht="12.75">
      <c r="A19" s="17">
        <v>1980</v>
      </c>
      <c r="B19" s="62"/>
      <c r="C19" s="64"/>
      <c r="D19" s="65"/>
      <c r="E19" s="65"/>
      <c r="F19" s="65"/>
      <c r="G19" s="65"/>
      <c r="H19" s="64"/>
      <c r="I19" s="63"/>
      <c r="J19" s="62"/>
      <c r="K19" s="64"/>
      <c r="L19" s="65"/>
      <c r="M19" s="65"/>
      <c r="N19" s="65"/>
      <c r="O19" s="65"/>
      <c r="P19" s="65"/>
      <c r="Q19" s="93"/>
      <c r="R19" s="62"/>
      <c r="S19" s="64"/>
      <c r="T19" s="65"/>
      <c r="U19" s="65"/>
      <c r="V19" s="65"/>
      <c r="W19" s="65"/>
      <c r="X19" s="65"/>
      <c r="Y19" s="30"/>
    </row>
    <row r="20" spans="1:25" ht="12.75">
      <c r="A20" s="17">
        <v>1981</v>
      </c>
      <c r="B20" s="62"/>
      <c r="C20" s="64"/>
      <c r="D20" s="65"/>
      <c r="E20" s="65"/>
      <c r="F20" s="65"/>
      <c r="G20" s="65"/>
      <c r="H20" s="64"/>
      <c r="I20" s="63"/>
      <c r="J20" s="62"/>
      <c r="K20" s="64"/>
      <c r="L20" s="65"/>
      <c r="M20" s="65"/>
      <c r="N20" s="65"/>
      <c r="O20" s="65"/>
      <c r="P20" s="65"/>
      <c r="Q20" s="93"/>
      <c r="R20" s="62"/>
      <c r="S20" s="64"/>
      <c r="T20" s="65"/>
      <c r="U20" s="65"/>
      <c r="V20" s="65"/>
      <c r="W20" s="65"/>
      <c r="X20" s="65"/>
      <c r="Y20" s="30"/>
    </row>
    <row r="21" spans="1:25" ht="12.75">
      <c r="A21" s="17">
        <v>1982</v>
      </c>
      <c r="B21" s="62"/>
      <c r="C21" s="64"/>
      <c r="D21" s="65"/>
      <c r="E21" s="65"/>
      <c r="F21" s="65"/>
      <c r="G21" s="65"/>
      <c r="H21" s="64"/>
      <c r="I21" s="63"/>
      <c r="J21" s="62"/>
      <c r="K21" s="64"/>
      <c r="L21" s="65"/>
      <c r="M21" s="65"/>
      <c r="N21" s="65"/>
      <c r="O21" s="65"/>
      <c r="P21" s="65"/>
      <c r="Q21" s="93"/>
      <c r="R21" s="62"/>
      <c r="S21" s="64"/>
      <c r="T21" s="65"/>
      <c r="U21" s="65"/>
      <c r="V21" s="65"/>
      <c r="W21" s="65"/>
      <c r="X21" s="65"/>
      <c r="Y21" s="30"/>
    </row>
    <row r="22" spans="1:25" ht="12.75">
      <c r="A22" s="17">
        <v>1983</v>
      </c>
      <c r="B22" s="62"/>
      <c r="C22" s="64"/>
      <c r="D22" s="65"/>
      <c r="E22" s="65"/>
      <c r="F22" s="65"/>
      <c r="G22" s="65"/>
      <c r="H22" s="64"/>
      <c r="I22" s="63"/>
      <c r="J22" s="62"/>
      <c r="K22" s="64"/>
      <c r="L22" s="65"/>
      <c r="M22" s="65"/>
      <c r="N22" s="65"/>
      <c r="O22" s="65"/>
      <c r="P22" s="65"/>
      <c r="Q22" s="93"/>
      <c r="R22" s="62"/>
      <c r="S22" s="64"/>
      <c r="T22" s="65"/>
      <c r="U22" s="65"/>
      <c r="V22" s="65"/>
      <c r="W22" s="65"/>
      <c r="X22" s="65"/>
      <c r="Y22" s="30"/>
    </row>
    <row r="23" spans="1:25" ht="12.75">
      <c r="A23" s="17">
        <v>1984</v>
      </c>
      <c r="B23" s="62"/>
      <c r="C23" s="64"/>
      <c r="D23" s="65"/>
      <c r="E23" s="65"/>
      <c r="F23" s="65"/>
      <c r="G23" s="65"/>
      <c r="H23" s="64"/>
      <c r="I23" s="63"/>
      <c r="J23" s="62"/>
      <c r="K23" s="64"/>
      <c r="L23" s="65"/>
      <c r="M23" s="65"/>
      <c r="N23" s="65"/>
      <c r="O23" s="65"/>
      <c r="P23" s="65"/>
      <c r="Q23" s="93"/>
      <c r="R23" s="62"/>
      <c r="S23" s="64"/>
      <c r="T23" s="65"/>
      <c r="U23" s="65"/>
      <c r="V23" s="65"/>
      <c r="W23" s="65"/>
      <c r="X23" s="65"/>
      <c r="Y23" s="30"/>
    </row>
    <row r="24" spans="1:25" ht="12.75">
      <c r="A24" s="17">
        <v>1985</v>
      </c>
      <c r="B24" s="62"/>
      <c r="C24" s="64"/>
      <c r="D24" s="65"/>
      <c r="E24" s="65"/>
      <c r="F24" s="65"/>
      <c r="G24" s="65"/>
      <c r="H24" s="64"/>
      <c r="I24" s="63"/>
      <c r="J24" s="62"/>
      <c r="K24" s="64"/>
      <c r="L24" s="65"/>
      <c r="M24" s="65"/>
      <c r="N24" s="65"/>
      <c r="O24" s="65"/>
      <c r="P24" s="65"/>
      <c r="Q24" s="93"/>
      <c r="R24" s="62"/>
      <c r="S24" s="64"/>
      <c r="T24" s="65"/>
      <c r="U24" s="65"/>
      <c r="V24" s="65"/>
      <c r="W24" s="65"/>
      <c r="X24" s="65"/>
      <c r="Y24" s="30"/>
    </row>
    <row r="25" spans="1:25" ht="12.75">
      <c r="A25" s="17">
        <v>1986</v>
      </c>
      <c r="B25" s="62"/>
      <c r="C25" s="64"/>
      <c r="D25" s="65"/>
      <c r="E25" s="65"/>
      <c r="F25" s="65"/>
      <c r="G25" s="65"/>
      <c r="H25" s="64"/>
      <c r="I25" s="63"/>
      <c r="J25" s="62"/>
      <c r="K25" s="64"/>
      <c r="L25" s="65"/>
      <c r="M25" s="65"/>
      <c r="N25" s="65"/>
      <c r="O25" s="65"/>
      <c r="P25" s="65"/>
      <c r="Q25" s="93"/>
      <c r="R25" s="62"/>
      <c r="S25" s="64"/>
      <c r="T25" s="65"/>
      <c r="U25" s="65"/>
      <c r="V25" s="65"/>
      <c r="W25" s="65"/>
      <c r="X25" s="65"/>
      <c r="Y25" s="30"/>
    </row>
    <row r="26" spans="1:25" ht="12.75">
      <c r="A26" s="17">
        <v>1987</v>
      </c>
      <c r="B26" s="62"/>
      <c r="C26" s="64"/>
      <c r="D26" s="65"/>
      <c r="E26" s="65"/>
      <c r="F26" s="65"/>
      <c r="G26" s="65"/>
      <c r="H26" s="64"/>
      <c r="I26" s="63"/>
      <c r="J26" s="62"/>
      <c r="K26" s="64"/>
      <c r="L26" s="65"/>
      <c r="M26" s="65"/>
      <c r="N26" s="65"/>
      <c r="O26" s="65"/>
      <c r="P26" s="65"/>
      <c r="Q26" s="93"/>
      <c r="R26" s="62"/>
      <c r="S26" s="64"/>
      <c r="T26" s="65"/>
      <c r="U26" s="65"/>
      <c r="V26" s="65"/>
      <c r="W26" s="65"/>
      <c r="X26" s="65"/>
      <c r="Y26" s="30"/>
    </row>
    <row r="27" spans="1:25" ht="12.75">
      <c r="A27" s="17">
        <v>1988</v>
      </c>
      <c r="B27" s="62"/>
      <c r="C27" s="64"/>
      <c r="D27" s="65"/>
      <c r="E27" s="65"/>
      <c r="F27" s="65"/>
      <c r="G27" s="65"/>
      <c r="H27" s="64"/>
      <c r="I27" s="63"/>
      <c r="J27" s="62"/>
      <c r="K27" s="64"/>
      <c r="L27" s="65"/>
      <c r="M27" s="65"/>
      <c r="N27" s="65"/>
      <c r="O27" s="65"/>
      <c r="P27" s="65"/>
      <c r="Q27" s="93"/>
      <c r="R27" s="62"/>
      <c r="S27" s="64"/>
      <c r="T27" s="65"/>
      <c r="U27" s="65"/>
      <c r="V27" s="65"/>
      <c r="W27" s="65"/>
      <c r="X27" s="65"/>
      <c r="Y27" s="30"/>
    </row>
    <row r="28" spans="1:25" ht="12.75">
      <c r="A28" s="17">
        <v>1989</v>
      </c>
      <c r="B28" s="62"/>
      <c r="C28" s="64"/>
      <c r="D28" s="65"/>
      <c r="E28" s="65"/>
      <c r="F28" s="65"/>
      <c r="G28" s="65"/>
      <c r="H28" s="64"/>
      <c r="I28" s="63"/>
      <c r="J28" s="62"/>
      <c r="K28" s="64"/>
      <c r="L28" s="65"/>
      <c r="M28" s="65"/>
      <c r="N28" s="65"/>
      <c r="O28" s="65"/>
      <c r="P28" s="65"/>
      <c r="Q28" s="93"/>
      <c r="R28" s="62"/>
      <c r="S28" s="64"/>
      <c r="T28" s="65"/>
      <c r="U28" s="65"/>
      <c r="V28" s="65"/>
      <c r="W28" s="65"/>
      <c r="X28" s="65"/>
      <c r="Y28" s="30"/>
    </row>
    <row r="29" spans="1:25" ht="12.75">
      <c r="A29" s="17">
        <v>1990</v>
      </c>
      <c r="B29" s="62"/>
      <c r="C29" s="64"/>
      <c r="D29" s="65"/>
      <c r="E29" s="65"/>
      <c r="F29" s="65"/>
      <c r="G29" s="65"/>
      <c r="H29" s="64"/>
      <c r="I29" s="63"/>
      <c r="J29" s="62">
        <f>L29+M29</f>
        <v>2</v>
      </c>
      <c r="K29" s="64">
        <f>K28+J29</f>
        <v>2</v>
      </c>
      <c r="L29" s="65">
        <v>1</v>
      </c>
      <c r="M29" s="65">
        <v>1</v>
      </c>
      <c r="N29" s="65"/>
      <c r="O29" s="65">
        <f>O28+L29</f>
        <v>1</v>
      </c>
      <c r="P29" s="65">
        <f>P28+M29</f>
        <v>1</v>
      </c>
      <c r="Q29" s="93"/>
      <c r="R29" s="62">
        <f>B29+J29</f>
        <v>2</v>
      </c>
      <c r="S29" s="64">
        <f>C29+K29</f>
        <v>2</v>
      </c>
      <c r="T29" s="65">
        <f>D29+L29</f>
        <v>1</v>
      </c>
      <c r="U29" s="65">
        <f>E29+M29</f>
        <v>1</v>
      </c>
      <c r="V29" s="65"/>
      <c r="W29" s="65">
        <f>W28+T29</f>
        <v>1</v>
      </c>
      <c r="X29" s="65">
        <f>X28+U29</f>
        <v>1</v>
      </c>
      <c r="Y29" s="30"/>
    </row>
    <row r="30" spans="1:25" ht="12.75">
      <c r="A30" s="17">
        <v>1991</v>
      </c>
      <c r="B30" s="62">
        <f>D30+E30</f>
        <v>4</v>
      </c>
      <c r="C30" s="64">
        <f>C29+B30</f>
        <v>4</v>
      </c>
      <c r="D30" s="65">
        <v>3</v>
      </c>
      <c r="E30" s="65">
        <v>1</v>
      </c>
      <c r="F30" s="65"/>
      <c r="G30" s="65">
        <f>G29+D30</f>
        <v>3</v>
      </c>
      <c r="H30" s="64">
        <f>H29+E30</f>
        <v>1</v>
      </c>
      <c r="I30" s="63"/>
      <c r="J30" s="62">
        <f aca="true" t="shared" si="0" ref="J30:J43">L30+M30</f>
        <v>4</v>
      </c>
      <c r="K30" s="64">
        <f aca="true" t="shared" si="1" ref="K30:K43">K29+J30</f>
        <v>6</v>
      </c>
      <c r="L30" s="65">
        <v>2</v>
      </c>
      <c r="M30" s="65">
        <v>2</v>
      </c>
      <c r="N30" s="65"/>
      <c r="O30" s="65">
        <f aca="true" t="shared" si="2" ref="O30:O43">O29+L30</f>
        <v>3</v>
      </c>
      <c r="P30" s="65">
        <f aca="true" t="shared" si="3" ref="P30:P43">P29+M30</f>
        <v>3</v>
      </c>
      <c r="Q30" s="93"/>
      <c r="R30" s="62">
        <f>B30+J30</f>
        <v>8</v>
      </c>
      <c r="S30" s="64">
        <f aca="true" t="shared" si="4" ref="S30:S43">C30+K30</f>
        <v>10</v>
      </c>
      <c r="T30" s="65">
        <f aca="true" t="shared" si="5" ref="T30:T43">D30+L30</f>
        <v>5</v>
      </c>
      <c r="U30" s="65">
        <f aca="true" t="shared" si="6" ref="U30:U43">E30+M30</f>
        <v>3</v>
      </c>
      <c r="V30" s="65"/>
      <c r="W30" s="65">
        <f aca="true" t="shared" si="7" ref="W30:W43">W29+T30</f>
        <v>6</v>
      </c>
      <c r="X30" s="65">
        <f aca="true" t="shared" si="8" ref="X30:X43">X29+U30</f>
        <v>4</v>
      </c>
      <c r="Y30" s="30"/>
    </row>
    <row r="31" spans="1:25" ht="12.75">
      <c r="A31" s="17">
        <v>1992</v>
      </c>
      <c r="B31" s="62">
        <f aca="true" t="shared" si="9" ref="B31:B43">D31+E31</f>
        <v>12</v>
      </c>
      <c r="C31" s="64">
        <f aca="true" t="shared" si="10" ref="C31:C43">C30+B31</f>
        <v>16</v>
      </c>
      <c r="D31" s="65">
        <v>8</v>
      </c>
      <c r="E31" s="65">
        <v>4</v>
      </c>
      <c r="F31" s="65"/>
      <c r="G31" s="65">
        <f aca="true" t="shared" si="11" ref="G31:G43">G30+D31</f>
        <v>11</v>
      </c>
      <c r="H31" s="64">
        <f aca="true" t="shared" si="12" ref="H31:H43">H30+E31</f>
        <v>5</v>
      </c>
      <c r="I31" s="63"/>
      <c r="J31" s="62">
        <f t="shared" si="0"/>
        <v>10</v>
      </c>
      <c r="K31" s="64">
        <f t="shared" si="1"/>
        <v>16</v>
      </c>
      <c r="L31" s="65">
        <v>5</v>
      </c>
      <c r="M31" s="65">
        <v>5</v>
      </c>
      <c r="N31" s="65"/>
      <c r="O31" s="65">
        <f t="shared" si="2"/>
        <v>8</v>
      </c>
      <c r="P31" s="65">
        <f t="shared" si="3"/>
        <v>8</v>
      </c>
      <c r="Q31" s="93"/>
      <c r="R31" s="62">
        <f aca="true" t="shared" si="13" ref="R31:R43">B31+J31</f>
        <v>22</v>
      </c>
      <c r="S31" s="64">
        <f t="shared" si="4"/>
        <v>32</v>
      </c>
      <c r="T31" s="65">
        <f t="shared" si="5"/>
        <v>13</v>
      </c>
      <c r="U31" s="65">
        <f t="shared" si="6"/>
        <v>9</v>
      </c>
      <c r="V31" s="65"/>
      <c r="W31" s="65">
        <f t="shared" si="7"/>
        <v>19</v>
      </c>
      <c r="X31" s="65">
        <f t="shared" si="8"/>
        <v>13</v>
      </c>
      <c r="Y31" s="30"/>
    </row>
    <row r="32" spans="1:25" ht="12.75">
      <c r="A32" s="17">
        <v>1993</v>
      </c>
      <c r="B32" s="62">
        <f t="shared" si="9"/>
        <v>14</v>
      </c>
      <c r="C32" s="64">
        <f t="shared" si="10"/>
        <v>30</v>
      </c>
      <c r="D32" s="65">
        <v>10</v>
      </c>
      <c r="E32" s="65">
        <v>4</v>
      </c>
      <c r="F32" s="65"/>
      <c r="G32" s="65">
        <f t="shared" si="11"/>
        <v>21</v>
      </c>
      <c r="H32" s="64">
        <f t="shared" si="12"/>
        <v>9</v>
      </c>
      <c r="I32" s="63"/>
      <c r="J32" s="62">
        <f t="shared" si="0"/>
        <v>5</v>
      </c>
      <c r="K32" s="64">
        <f t="shared" si="1"/>
        <v>21</v>
      </c>
      <c r="L32" s="65">
        <v>3</v>
      </c>
      <c r="M32" s="65">
        <v>2</v>
      </c>
      <c r="N32" s="65"/>
      <c r="O32" s="65">
        <f t="shared" si="2"/>
        <v>11</v>
      </c>
      <c r="P32" s="65">
        <f t="shared" si="3"/>
        <v>10</v>
      </c>
      <c r="Q32" s="93"/>
      <c r="R32" s="62">
        <f t="shared" si="13"/>
        <v>19</v>
      </c>
      <c r="S32" s="64">
        <f t="shared" si="4"/>
        <v>51</v>
      </c>
      <c r="T32" s="65">
        <f t="shared" si="5"/>
        <v>13</v>
      </c>
      <c r="U32" s="65">
        <f t="shared" si="6"/>
        <v>6</v>
      </c>
      <c r="V32" s="65"/>
      <c r="W32" s="65">
        <f t="shared" si="7"/>
        <v>32</v>
      </c>
      <c r="X32" s="65">
        <f t="shared" si="8"/>
        <v>19</v>
      </c>
      <c r="Y32" s="30"/>
    </row>
    <row r="33" spans="1:25" ht="12.75">
      <c r="A33" s="17">
        <v>1994</v>
      </c>
      <c r="B33" s="62">
        <f t="shared" si="9"/>
        <v>16</v>
      </c>
      <c r="C33" s="64">
        <f t="shared" si="10"/>
        <v>46</v>
      </c>
      <c r="D33" s="65">
        <v>13</v>
      </c>
      <c r="E33" s="65">
        <v>3</v>
      </c>
      <c r="F33" s="65"/>
      <c r="G33" s="65">
        <f t="shared" si="11"/>
        <v>34</v>
      </c>
      <c r="H33" s="64">
        <f t="shared" si="12"/>
        <v>12</v>
      </c>
      <c r="I33" s="63"/>
      <c r="J33" s="62">
        <f t="shared" si="0"/>
        <v>11</v>
      </c>
      <c r="K33" s="64">
        <f t="shared" si="1"/>
        <v>32</v>
      </c>
      <c r="L33" s="65">
        <v>2</v>
      </c>
      <c r="M33" s="65">
        <v>9</v>
      </c>
      <c r="N33" s="65"/>
      <c r="O33" s="65">
        <f t="shared" si="2"/>
        <v>13</v>
      </c>
      <c r="P33" s="65">
        <f t="shared" si="3"/>
        <v>19</v>
      </c>
      <c r="Q33" s="93"/>
      <c r="R33" s="62">
        <f t="shared" si="13"/>
        <v>27</v>
      </c>
      <c r="S33" s="64">
        <f t="shared" si="4"/>
        <v>78</v>
      </c>
      <c r="T33" s="65">
        <f t="shared" si="5"/>
        <v>15</v>
      </c>
      <c r="U33" s="65">
        <f t="shared" si="6"/>
        <v>12</v>
      </c>
      <c r="V33" s="65"/>
      <c r="W33" s="65">
        <f t="shared" si="7"/>
        <v>47</v>
      </c>
      <c r="X33" s="65">
        <f t="shared" si="8"/>
        <v>31</v>
      </c>
      <c r="Y33" s="30"/>
    </row>
    <row r="34" spans="1:25" ht="12.75">
      <c r="A34" s="17">
        <v>1995</v>
      </c>
      <c r="B34" s="62">
        <f t="shared" si="9"/>
        <v>13</v>
      </c>
      <c r="C34" s="64">
        <f t="shared" si="10"/>
        <v>59</v>
      </c>
      <c r="D34" s="65">
        <v>8</v>
      </c>
      <c r="E34" s="65">
        <v>5</v>
      </c>
      <c r="F34" s="65"/>
      <c r="G34" s="65">
        <f t="shared" si="11"/>
        <v>42</v>
      </c>
      <c r="H34" s="64">
        <f t="shared" si="12"/>
        <v>17</v>
      </c>
      <c r="I34" s="63"/>
      <c r="J34" s="62">
        <f t="shared" si="0"/>
        <v>6</v>
      </c>
      <c r="K34" s="64">
        <f t="shared" si="1"/>
        <v>38</v>
      </c>
      <c r="L34" s="65">
        <v>1</v>
      </c>
      <c r="M34" s="65">
        <v>5</v>
      </c>
      <c r="N34" s="65"/>
      <c r="O34" s="65">
        <f t="shared" si="2"/>
        <v>14</v>
      </c>
      <c r="P34" s="65">
        <f t="shared" si="3"/>
        <v>24</v>
      </c>
      <c r="Q34" s="93"/>
      <c r="R34" s="62">
        <f t="shared" si="13"/>
        <v>19</v>
      </c>
      <c r="S34" s="64">
        <f t="shared" si="4"/>
        <v>97</v>
      </c>
      <c r="T34" s="65">
        <f t="shared" si="5"/>
        <v>9</v>
      </c>
      <c r="U34" s="65">
        <f t="shared" si="6"/>
        <v>10</v>
      </c>
      <c r="V34" s="65"/>
      <c r="W34" s="65">
        <f t="shared" si="7"/>
        <v>56</v>
      </c>
      <c r="X34" s="65">
        <f t="shared" si="8"/>
        <v>41</v>
      </c>
      <c r="Y34" s="30"/>
    </row>
    <row r="35" spans="1:25" ht="12.75">
      <c r="A35" s="17">
        <v>1996</v>
      </c>
      <c r="B35" s="62">
        <f t="shared" si="9"/>
        <v>17</v>
      </c>
      <c r="C35" s="64">
        <f t="shared" si="10"/>
        <v>76</v>
      </c>
      <c r="D35" s="65">
        <v>10</v>
      </c>
      <c r="E35" s="65">
        <v>7</v>
      </c>
      <c r="F35" s="65"/>
      <c r="G35" s="65">
        <f t="shared" si="11"/>
        <v>52</v>
      </c>
      <c r="H35" s="64">
        <f t="shared" si="12"/>
        <v>24</v>
      </c>
      <c r="I35" s="63"/>
      <c r="J35" s="62">
        <f t="shared" si="0"/>
        <v>6</v>
      </c>
      <c r="K35" s="64">
        <f t="shared" si="1"/>
        <v>44</v>
      </c>
      <c r="L35" s="65">
        <v>1</v>
      </c>
      <c r="M35" s="65">
        <v>5</v>
      </c>
      <c r="N35" s="65"/>
      <c r="O35" s="65">
        <f t="shared" si="2"/>
        <v>15</v>
      </c>
      <c r="P35" s="65">
        <f t="shared" si="3"/>
        <v>29</v>
      </c>
      <c r="Q35" s="93"/>
      <c r="R35" s="62">
        <f t="shared" si="13"/>
        <v>23</v>
      </c>
      <c r="S35" s="64">
        <f t="shared" si="4"/>
        <v>120</v>
      </c>
      <c r="T35" s="65">
        <f t="shared" si="5"/>
        <v>11</v>
      </c>
      <c r="U35" s="65">
        <f t="shared" si="6"/>
        <v>12</v>
      </c>
      <c r="V35" s="65"/>
      <c r="W35" s="65">
        <f t="shared" si="7"/>
        <v>67</v>
      </c>
      <c r="X35" s="65">
        <f t="shared" si="8"/>
        <v>53</v>
      </c>
      <c r="Y35" s="30"/>
    </row>
    <row r="36" spans="1:25" ht="12.75">
      <c r="A36" s="17">
        <v>1997</v>
      </c>
      <c r="B36" s="62">
        <f t="shared" si="9"/>
        <v>12</v>
      </c>
      <c r="C36" s="64">
        <f t="shared" si="10"/>
        <v>88</v>
      </c>
      <c r="D36" s="65">
        <v>3</v>
      </c>
      <c r="E36" s="65">
        <v>9</v>
      </c>
      <c r="F36" s="65"/>
      <c r="G36" s="65">
        <f t="shared" si="11"/>
        <v>55</v>
      </c>
      <c r="H36" s="64">
        <f t="shared" si="12"/>
        <v>33</v>
      </c>
      <c r="I36" s="63"/>
      <c r="J36" s="62">
        <f t="shared" si="0"/>
        <v>5</v>
      </c>
      <c r="K36" s="64">
        <f t="shared" si="1"/>
        <v>49</v>
      </c>
      <c r="L36" s="65">
        <v>2</v>
      </c>
      <c r="M36" s="65">
        <v>3</v>
      </c>
      <c r="N36" s="65"/>
      <c r="O36" s="65">
        <f t="shared" si="2"/>
        <v>17</v>
      </c>
      <c r="P36" s="65">
        <f t="shared" si="3"/>
        <v>32</v>
      </c>
      <c r="Q36" s="93"/>
      <c r="R36" s="62">
        <f t="shared" si="13"/>
        <v>17</v>
      </c>
      <c r="S36" s="64">
        <f t="shared" si="4"/>
        <v>137</v>
      </c>
      <c r="T36" s="65">
        <f t="shared" si="5"/>
        <v>5</v>
      </c>
      <c r="U36" s="65">
        <f t="shared" si="6"/>
        <v>12</v>
      </c>
      <c r="V36" s="65"/>
      <c r="W36" s="65">
        <f t="shared" si="7"/>
        <v>72</v>
      </c>
      <c r="X36" s="65">
        <f t="shared" si="8"/>
        <v>65</v>
      </c>
      <c r="Y36" s="30"/>
    </row>
    <row r="37" spans="1:25" ht="12.75">
      <c r="A37" s="17">
        <v>1998</v>
      </c>
      <c r="B37" s="62">
        <f t="shared" si="9"/>
        <v>23</v>
      </c>
      <c r="C37" s="64">
        <f t="shared" si="10"/>
        <v>111</v>
      </c>
      <c r="D37" s="65">
        <v>16</v>
      </c>
      <c r="E37" s="65">
        <v>7</v>
      </c>
      <c r="F37" s="65"/>
      <c r="G37" s="65">
        <f t="shared" si="11"/>
        <v>71</v>
      </c>
      <c r="H37" s="64">
        <f t="shared" si="12"/>
        <v>40</v>
      </c>
      <c r="I37" s="63"/>
      <c r="J37" s="62">
        <f t="shared" si="0"/>
        <v>10</v>
      </c>
      <c r="K37" s="64">
        <f t="shared" si="1"/>
        <v>59</v>
      </c>
      <c r="L37" s="65">
        <v>4</v>
      </c>
      <c r="M37" s="65">
        <v>6</v>
      </c>
      <c r="N37" s="65"/>
      <c r="O37" s="65">
        <f t="shared" si="2"/>
        <v>21</v>
      </c>
      <c r="P37" s="65">
        <f t="shared" si="3"/>
        <v>38</v>
      </c>
      <c r="Q37" s="93"/>
      <c r="R37" s="62">
        <f t="shared" si="13"/>
        <v>33</v>
      </c>
      <c r="S37" s="64">
        <f t="shared" si="4"/>
        <v>170</v>
      </c>
      <c r="T37" s="65">
        <f t="shared" si="5"/>
        <v>20</v>
      </c>
      <c r="U37" s="65">
        <f t="shared" si="6"/>
        <v>13</v>
      </c>
      <c r="V37" s="65"/>
      <c r="W37" s="65">
        <f t="shared" si="7"/>
        <v>92</v>
      </c>
      <c r="X37" s="65">
        <f t="shared" si="8"/>
        <v>78</v>
      </c>
      <c r="Y37" s="30"/>
    </row>
    <row r="38" spans="1:25" ht="12.75">
      <c r="A38" s="18">
        <v>1999</v>
      </c>
      <c r="B38" s="66">
        <f t="shared" si="9"/>
        <v>15</v>
      </c>
      <c r="C38" s="68">
        <f t="shared" si="10"/>
        <v>126</v>
      </c>
      <c r="D38" s="69">
        <v>8</v>
      </c>
      <c r="E38" s="69">
        <v>7</v>
      </c>
      <c r="F38" s="69"/>
      <c r="G38" s="69">
        <f t="shared" si="11"/>
        <v>79</v>
      </c>
      <c r="H38" s="68">
        <f t="shared" si="12"/>
        <v>47</v>
      </c>
      <c r="I38" s="67"/>
      <c r="J38" s="66">
        <f t="shared" si="0"/>
        <v>11</v>
      </c>
      <c r="K38" s="68">
        <f t="shared" si="1"/>
        <v>70</v>
      </c>
      <c r="L38" s="69">
        <v>6</v>
      </c>
      <c r="M38" s="69">
        <v>5</v>
      </c>
      <c r="N38" s="69"/>
      <c r="O38" s="69">
        <f t="shared" si="2"/>
        <v>27</v>
      </c>
      <c r="P38" s="69">
        <f t="shared" si="3"/>
        <v>43</v>
      </c>
      <c r="Q38" s="94"/>
      <c r="R38" s="66">
        <f t="shared" si="13"/>
        <v>26</v>
      </c>
      <c r="S38" s="68">
        <f t="shared" si="4"/>
        <v>196</v>
      </c>
      <c r="T38" s="69">
        <f t="shared" si="5"/>
        <v>14</v>
      </c>
      <c r="U38" s="69">
        <f t="shared" si="6"/>
        <v>12</v>
      </c>
      <c r="V38" s="69"/>
      <c r="W38" s="69">
        <f t="shared" si="7"/>
        <v>106</v>
      </c>
      <c r="X38" s="69">
        <f t="shared" si="8"/>
        <v>90</v>
      </c>
      <c r="Y38" s="33"/>
    </row>
    <row r="39" spans="1:25" s="7" customFormat="1" ht="18.75" customHeight="1">
      <c r="A39" s="17">
        <v>2000</v>
      </c>
      <c r="B39" s="62">
        <f t="shared" si="9"/>
        <v>14</v>
      </c>
      <c r="C39" s="64">
        <f t="shared" si="10"/>
        <v>140</v>
      </c>
      <c r="D39" s="65">
        <v>12</v>
      </c>
      <c r="E39" s="65">
        <v>2</v>
      </c>
      <c r="F39" s="65"/>
      <c r="G39" s="65">
        <f t="shared" si="11"/>
        <v>91</v>
      </c>
      <c r="H39" s="64">
        <f t="shared" si="12"/>
        <v>49</v>
      </c>
      <c r="I39" s="63"/>
      <c r="J39" s="62">
        <f t="shared" si="0"/>
        <v>15</v>
      </c>
      <c r="K39" s="64">
        <f t="shared" si="1"/>
        <v>85</v>
      </c>
      <c r="L39" s="65">
        <v>8</v>
      </c>
      <c r="M39" s="65">
        <v>7</v>
      </c>
      <c r="N39" s="65"/>
      <c r="O39" s="65">
        <f t="shared" si="2"/>
        <v>35</v>
      </c>
      <c r="P39" s="65">
        <f t="shared" si="3"/>
        <v>50</v>
      </c>
      <c r="Q39" s="93"/>
      <c r="R39" s="62">
        <f t="shared" si="13"/>
        <v>29</v>
      </c>
      <c r="S39" s="64">
        <f t="shared" si="4"/>
        <v>225</v>
      </c>
      <c r="T39" s="65">
        <f t="shared" si="5"/>
        <v>20</v>
      </c>
      <c r="U39" s="65">
        <f t="shared" si="6"/>
        <v>9</v>
      </c>
      <c r="V39" s="65"/>
      <c r="W39" s="65">
        <f t="shared" si="7"/>
        <v>126</v>
      </c>
      <c r="X39" s="65">
        <f t="shared" si="8"/>
        <v>99</v>
      </c>
      <c r="Y39" s="30"/>
    </row>
    <row r="40" spans="1:25" ht="12.75">
      <c r="A40" s="17">
        <v>2001</v>
      </c>
      <c r="B40" s="62">
        <f t="shared" si="9"/>
        <v>13</v>
      </c>
      <c r="C40" s="64">
        <f t="shared" si="10"/>
        <v>153</v>
      </c>
      <c r="D40" s="65">
        <v>9</v>
      </c>
      <c r="E40" s="65">
        <v>4</v>
      </c>
      <c r="F40" s="65"/>
      <c r="G40" s="65">
        <f t="shared" si="11"/>
        <v>100</v>
      </c>
      <c r="H40" s="64">
        <f t="shared" si="12"/>
        <v>53</v>
      </c>
      <c r="I40" s="63"/>
      <c r="J40" s="62">
        <f t="shared" si="0"/>
        <v>7</v>
      </c>
      <c r="K40" s="64">
        <f t="shared" si="1"/>
        <v>92</v>
      </c>
      <c r="L40" s="65">
        <v>4</v>
      </c>
      <c r="M40" s="65">
        <v>3</v>
      </c>
      <c r="N40" s="65"/>
      <c r="O40" s="65">
        <f t="shared" si="2"/>
        <v>39</v>
      </c>
      <c r="P40" s="65">
        <f t="shared" si="3"/>
        <v>53</v>
      </c>
      <c r="Q40" s="93"/>
      <c r="R40" s="62">
        <f t="shared" si="13"/>
        <v>20</v>
      </c>
      <c r="S40" s="64">
        <f t="shared" si="4"/>
        <v>245</v>
      </c>
      <c r="T40" s="65">
        <f t="shared" si="5"/>
        <v>13</v>
      </c>
      <c r="U40" s="65">
        <f t="shared" si="6"/>
        <v>7</v>
      </c>
      <c r="V40" s="65"/>
      <c r="W40" s="65">
        <f t="shared" si="7"/>
        <v>139</v>
      </c>
      <c r="X40" s="65">
        <f t="shared" si="8"/>
        <v>106</v>
      </c>
      <c r="Y40" s="30"/>
    </row>
    <row r="41" spans="1:25" ht="12.75">
      <c r="A41" s="17">
        <v>2002</v>
      </c>
      <c r="B41" s="62">
        <f t="shared" si="9"/>
        <v>24</v>
      </c>
      <c r="C41" s="64">
        <f t="shared" si="10"/>
        <v>177</v>
      </c>
      <c r="D41" s="65">
        <v>20</v>
      </c>
      <c r="E41" s="65">
        <v>4</v>
      </c>
      <c r="F41" s="65"/>
      <c r="G41" s="65">
        <f t="shared" si="11"/>
        <v>120</v>
      </c>
      <c r="H41" s="64">
        <f t="shared" si="12"/>
        <v>57</v>
      </c>
      <c r="I41" s="63"/>
      <c r="J41" s="62">
        <f t="shared" si="0"/>
        <v>26</v>
      </c>
      <c r="K41" s="64">
        <f t="shared" si="1"/>
        <v>118</v>
      </c>
      <c r="L41" s="65">
        <v>17</v>
      </c>
      <c r="M41" s="65">
        <v>9</v>
      </c>
      <c r="N41" s="65"/>
      <c r="O41" s="65">
        <f t="shared" si="2"/>
        <v>56</v>
      </c>
      <c r="P41" s="65">
        <f t="shared" si="3"/>
        <v>62</v>
      </c>
      <c r="Q41" s="93"/>
      <c r="R41" s="62">
        <f t="shared" si="13"/>
        <v>50</v>
      </c>
      <c r="S41" s="64">
        <f t="shared" si="4"/>
        <v>295</v>
      </c>
      <c r="T41" s="65">
        <f t="shared" si="5"/>
        <v>37</v>
      </c>
      <c r="U41" s="65">
        <f t="shared" si="6"/>
        <v>13</v>
      </c>
      <c r="V41" s="65"/>
      <c r="W41" s="65">
        <f t="shared" si="7"/>
        <v>176</v>
      </c>
      <c r="X41" s="65">
        <f t="shared" si="8"/>
        <v>119</v>
      </c>
      <c r="Y41" s="30"/>
    </row>
    <row r="42" spans="1:25" ht="12.75">
      <c r="A42" s="17">
        <v>2003</v>
      </c>
      <c r="B42" s="62">
        <f t="shared" si="9"/>
        <v>17</v>
      </c>
      <c r="C42" s="64">
        <f t="shared" si="10"/>
        <v>194</v>
      </c>
      <c r="D42" s="65">
        <v>13</v>
      </c>
      <c r="E42" s="65">
        <v>4</v>
      </c>
      <c r="F42" s="65"/>
      <c r="G42" s="65">
        <f t="shared" si="11"/>
        <v>133</v>
      </c>
      <c r="H42" s="64">
        <f t="shared" si="12"/>
        <v>61</v>
      </c>
      <c r="I42" s="63"/>
      <c r="J42" s="62">
        <f t="shared" si="0"/>
        <v>8</v>
      </c>
      <c r="K42" s="64">
        <f t="shared" si="1"/>
        <v>126</v>
      </c>
      <c r="L42" s="65">
        <v>1</v>
      </c>
      <c r="M42" s="65">
        <v>7</v>
      </c>
      <c r="N42" s="65"/>
      <c r="O42" s="65">
        <f t="shared" si="2"/>
        <v>57</v>
      </c>
      <c r="P42" s="65">
        <f t="shared" si="3"/>
        <v>69</v>
      </c>
      <c r="Q42" s="93"/>
      <c r="R42" s="62">
        <f t="shared" si="13"/>
        <v>25</v>
      </c>
      <c r="S42" s="64">
        <f t="shared" si="4"/>
        <v>320</v>
      </c>
      <c r="T42" s="65">
        <f t="shared" si="5"/>
        <v>14</v>
      </c>
      <c r="U42" s="65">
        <f t="shared" si="6"/>
        <v>11</v>
      </c>
      <c r="V42" s="65"/>
      <c r="W42" s="65">
        <f t="shared" si="7"/>
        <v>190</v>
      </c>
      <c r="X42" s="65">
        <f t="shared" si="8"/>
        <v>130</v>
      </c>
      <c r="Y42" s="30"/>
    </row>
    <row r="43" spans="1:25" ht="12.75">
      <c r="A43" s="17">
        <v>2004</v>
      </c>
      <c r="B43" s="62">
        <f t="shared" si="9"/>
        <v>18</v>
      </c>
      <c r="C43" s="64">
        <f t="shared" si="10"/>
        <v>212</v>
      </c>
      <c r="D43" s="65">
        <v>14</v>
      </c>
      <c r="E43" s="65">
        <v>4</v>
      </c>
      <c r="F43" s="65"/>
      <c r="G43" s="65">
        <f t="shared" si="11"/>
        <v>147</v>
      </c>
      <c r="H43" s="64">
        <f t="shared" si="12"/>
        <v>65</v>
      </c>
      <c r="I43" s="63"/>
      <c r="J43" s="62">
        <f t="shared" si="0"/>
        <v>8</v>
      </c>
      <c r="K43" s="64">
        <f t="shared" si="1"/>
        <v>134</v>
      </c>
      <c r="L43" s="65">
        <f>1+4+0</f>
        <v>5</v>
      </c>
      <c r="M43" s="65">
        <v>3</v>
      </c>
      <c r="N43" s="65"/>
      <c r="O43" s="65">
        <f t="shared" si="2"/>
        <v>62</v>
      </c>
      <c r="P43" s="65">
        <f t="shared" si="3"/>
        <v>72</v>
      </c>
      <c r="Q43" s="93"/>
      <c r="R43" s="62">
        <f t="shared" si="13"/>
        <v>26</v>
      </c>
      <c r="S43" s="64">
        <f t="shared" si="4"/>
        <v>346</v>
      </c>
      <c r="T43" s="65">
        <f t="shared" si="5"/>
        <v>19</v>
      </c>
      <c r="U43" s="65">
        <f t="shared" si="6"/>
        <v>7</v>
      </c>
      <c r="V43" s="65"/>
      <c r="W43" s="65">
        <f t="shared" si="7"/>
        <v>209</v>
      </c>
      <c r="X43" s="65">
        <f t="shared" si="8"/>
        <v>137</v>
      </c>
      <c r="Y43" s="30"/>
    </row>
    <row r="44" spans="1:25" s="78" customFormat="1" ht="12.75">
      <c r="A44" s="17">
        <v>2005</v>
      </c>
      <c r="B44" s="62">
        <f aca="true" t="shared" si="14" ref="B44:B49">D44+E44</f>
        <v>21</v>
      </c>
      <c r="C44" s="64">
        <f aca="true" t="shared" si="15" ref="C44:C49">C43+B44</f>
        <v>233</v>
      </c>
      <c r="D44" s="73">
        <f>4+5+3+2</f>
        <v>14</v>
      </c>
      <c r="E44" s="152">
        <f>2+2+0+3</f>
        <v>7</v>
      </c>
      <c r="F44" s="152"/>
      <c r="G44" s="65">
        <f aca="true" t="shared" si="16" ref="G44:G57">G43+D44</f>
        <v>161</v>
      </c>
      <c r="H44" s="64">
        <f aca="true" t="shared" si="17" ref="H44:H57">H43+E44</f>
        <v>72</v>
      </c>
      <c r="I44" s="63"/>
      <c r="J44" s="62">
        <f aca="true" t="shared" si="18" ref="J44:J49">L44+M44</f>
        <v>16</v>
      </c>
      <c r="K44" s="64">
        <f aca="true" t="shared" si="19" ref="K44:K49">K43+J44</f>
        <v>150</v>
      </c>
      <c r="L44" s="73">
        <f>2+4+1+0</f>
        <v>7</v>
      </c>
      <c r="M44" s="152">
        <f>1+2+3+3</f>
        <v>9</v>
      </c>
      <c r="N44" s="152"/>
      <c r="O44" s="65">
        <f aca="true" t="shared" si="20" ref="O44:O57">O43+L44</f>
        <v>69</v>
      </c>
      <c r="P44" s="65">
        <f aca="true" t="shared" si="21" ref="P44:P57">P43+M44</f>
        <v>81</v>
      </c>
      <c r="Q44" s="93"/>
      <c r="R44" s="62">
        <f aca="true" t="shared" si="22" ref="R44:R57">B44+J44</f>
        <v>37</v>
      </c>
      <c r="S44" s="64">
        <f aca="true" t="shared" si="23" ref="S44:S57">C44+K44</f>
        <v>383</v>
      </c>
      <c r="T44" s="65">
        <f aca="true" t="shared" si="24" ref="T44:T57">D44+L44</f>
        <v>21</v>
      </c>
      <c r="U44" s="65">
        <f aca="true" t="shared" si="25" ref="U44:U57">E44+M44</f>
        <v>16</v>
      </c>
      <c r="V44" s="65"/>
      <c r="W44" s="65">
        <f aca="true" t="shared" si="26" ref="W44:W57">W43+T44</f>
        <v>230</v>
      </c>
      <c r="X44" s="65">
        <f aca="true" t="shared" si="27" ref="X44:X57">X43+U44</f>
        <v>153</v>
      </c>
      <c r="Y44" s="73"/>
    </row>
    <row r="45" spans="1:25" s="78" customFormat="1" ht="12.75">
      <c r="A45" s="17">
        <v>2006</v>
      </c>
      <c r="B45" s="62">
        <f t="shared" si="14"/>
        <v>32</v>
      </c>
      <c r="C45" s="64">
        <f t="shared" si="15"/>
        <v>265</v>
      </c>
      <c r="D45" s="73">
        <f>5+7+5+4</f>
        <v>21</v>
      </c>
      <c r="E45" s="152">
        <f>4+0+2+5</f>
        <v>11</v>
      </c>
      <c r="F45" s="152"/>
      <c r="G45" s="65">
        <f t="shared" si="16"/>
        <v>182</v>
      </c>
      <c r="H45" s="64">
        <f t="shared" si="17"/>
        <v>83</v>
      </c>
      <c r="I45" s="63"/>
      <c r="J45" s="72">
        <f t="shared" si="18"/>
        <v>18</v>
      </c>
      <c r="K45" s="64">
        <f t="shared" si="19"/>
        <v>168</v>
      </c>
      <c r="L45" s="73">
        <f>3+2+1+2</f>
        <v>8</v>
      </c>
      <c r="M45" s="152">
        <f>0+3+2+5</f>
        <v>10</v>
      </c>
      <c r="N45" s="152"/>
      <c r="O45" s="65">
        <f t="shared" si="20"/>
        <v>77</v>
      </c>
      <c r="P45" s="65">
        <f t="shared" si="21"/>
        <v>91</v>
      </c>
      <c r="Q45" s="93"/>
      <c r="R45" s="62">
        <f t="shared" si="22"/>
        <v>50</v>
      </c>
      <c r="S45" s="64">
        <f t="shared" si="23"/>
        <v>433</v>
      </c>
      <c r="T45" s="65">
        <f t="shared" si="24"/>
        <v>29</v>
      </c>
      <c r="U45" s="65">
        <f t="shared" si="25"/>
        <v>21</v>
      </c>
      <c r="V45" s="65"/>
      <c r="W45" s="65">
        <f t="shared" si="26"/>
        <v>259</v>
      </c>
      <c r="X45" s="65">
        <f t="shared" si="27"/>
        <v>174</v>
      </c>
      <c r="Y45" s="73"/>
    </row>
    <row r="46" spans="1:25" s="78" customFormat="1" ht="12.75">
      <c r="A46" s="17">
        <v>2007</v>
      </c>
      <c r="B46" s="62">
        <f t="shared" si="14"/>
        <v>27</v>
      </c>
      <c r="C46" s="64">
        <f t="shared" si="15"/>
        <v>292</v>
      </c>
      <c r="D46" s="152">
        <f>3+3+5+6</f>
        <v>17</v>
      </c>
      <c r="E46" s="152">
        <f>5+2+2+1</f>
        <v>10</v>
      </c>
      <c r="F46" s="152"/>
      <c r="G46" s="65">
        <f t="shared" si="16"/>
        <v>199</v>
      </c>
      <c r="H46" s="64">
        <f t="shared" si="17"/>
        <v>93</v>
      </c>
      <c r="I46" s="63"/>
      <c r="J46" s="72">
        <f t="shared" si="18"/>
        <v>16</v>
      </c>
      <c r="K46" s="64">
        <f t="shared" si="19"/>
        <v>184</v>
      </c>
      <c r="L46" s="73">
        <f>2+0+1+3</f>
        <v>6</v>
      </c>
      <c r="M46" s="152">
        <f>3+2+4+1</f>
        <v>10</v>
      </c>
      <c r="N46" s="152"/>
      <c r="O46" s="65">
        <f t="shared" si="20"/>
        <v>83</v>
      </c>
      <c r="P46" s="65">
        <f t="shared" si="21"/>
        <v>101</v>
      </c>
      <c r="Q46" s="93"/>
      <c r="R46" s="62">
        <f t="shared" si="22"/>
        <v>43</v>
      </c>
      <c r="S46" s="64">
        <f t="shared" si="23"/>
        <v>476</v>
      </c>
      <c r="T46" s="65">
        <f t="shared" si="24"/>
        <v>23</v>
      </c>
      <c r="U46" s="65">
        <f t="shared" si="25"/>
        <v>20</v>
      </c>
      <c r="V46" s="65"/>
      <c r="W46" s="65">
        <f t="shared" si="26"/>
        <v>282</v>
      </c>
      <c r="X46" s="65">
        <f t="shared" si="27"/>
        <v>194</v>
      </c>
      <c r="Y46" s="73"/>
    </row>
    <row r="47" spans="1:25" s="78" customFormat="1" ht="12.75">
      <c r="A47" s="17">
        <v>2008</v>
      </c>
      <c r="B47" s="62">
        <f t="shared" si="14"/>
        <v>34</v>
      </c>
      <c r="C47" s="64">
        <f t="shared" si="15"/>
        <v>326</v>
      </c>
      <c r="D47" s="152">
        <f>7+2+5+3</f>
        <v>17</v>
      </c>
      <c r="E47" s="152">
        <f>2+6+5+4</f>
        <v>17</v>
      </c>
      <c r="F47" s="152"/>
      <c r="G47" s="65">
        <f t="shared" si="16"/>
        <v>216</v>
      </c>
      <c r="H47" s="64">
        <f t="shared" si="17"/>
        <v>110</v>
      </c>
      <c r="I47" s="63"/>
      <c r="J47" s="72">
        <f t="shared" si="18"/>
        <v>17</v>
      </c>
      <c r="K47" s="64">
        <f t="shared" si="19"/>
        <v>201</v>
      </c>
      <c r="L47" s="73">
        <f>2+1+4+3</f>
        <v>10</v>
      </c>
      <c r="M47" s="152">
        <f>2+1+1+3</f>
        <v>7</v>
      </c>
      <c r="N47" s="152"/>
      <c r="O47" s="65">
        <f t="shared" si="20"/>
        <v>93</v>
      </c>
      <c r="P47" s="65">
        <f t="shared" si="21"/>
        <v>108</v>
      </c>
      <c r="Q47" s="93"/>
      <c r="R47" s="62">
        <f t="shared" si="22"/>
        <v>51</v>
      </c>
      <c r="S47" s="64">
        <f t="shared" si="23"/>
        <v>527</v>
      </c>
      <c r="T47" s="65">
        <f t="shared" si="24"/>
        <v>27</v>
      </c>
      <c r="U47" s="65">
        <f t="shared" si="25"/>
        <v>24</v>
      </c>
      <c r="V47" s="65"/>
      <c r="W47" s="65">
        <f t="shared" si="26"/>
        <v>309</v>
      </c>
      <c r="X47" s="65">
        <f t="shared" si="27"/>
        <v>218</v>
      </c>
      <c r="Y47" s="73"/>
    </row>
    <row r="48" spans="1:25" s="78" customFormat="1" ht="12.75">
      <c r="A48" s="17">
        <v>2009</v>
      </c>
      <c r="B48" s="62">
        <f t="shared" si="14"/>
        <v>36</v>
      </c>
      <c r="C48" s="64">
        <f t="shared" si="15"/>
        <v>362</v>
      </c>
      <c r="D48" s="152">
        <f>4+0+2+6</f>
        <v>12</v>
      </c>
      <c r="E48" s="152">
        <f>9+6+6+3</f>
        <v>24</v>
      </c>
      <c r="F48" s="152"/>
      <c r="G48" s="65">
        <f t="shared" si="16"/>
        <v>228</v>
      </c>
      <c r="H48" s="64">
        <f t="shared" si="17"/>
        <v>134</v>
      </c>
      <c r="I48" s="63"/>
      <c r="J48" s="72">
        <f t="shared" si="18"/>
        <v>14</v>
      </c>
      <c r="K48" s="64">
        <f t="shared" si="19"/>
        <v>215</v>
      </c>
      <c r="L48" s="73">
        <f>0+1+0+2</f>
        <v>3</v>
      </c>
      <c r="M48" s="152">
        <f>1+4+4+2</f>
        <v>11</v>
      </c>
      <c r="N48" s="152"/>
      <c r="O48" s="65">
        <f t="shared" si="20"/>
        <v>96</v>
      </c>
      <c r="P48" s="65">
        <f t="shared" si="21"/>
        <v>119</v>
      </c>
      <c r="Q48" s="93"/>
      <c r="R48" s="62">
        <f t="shared" si="22"/>
        <v>50</v>
      </c>
      <c r="S48" s="64">
        <f t="shared" si="23"/>
        <v>577</v>
      </c>
      <c r="T48" s="65">
        <f t="shared" si="24"/>
        <v>15</v>
      </c>
      <c r="U48" s="65">
        <f t="shared" si="25"/>
        <v>35</v>
      </c>
      <c r="V48" s="65"/>
      <c r="W48" s="65">
        <f t="shared" si="26"/>
        <v>324</v>
      </c>
      <c r="X48" s="65">
        <f t="shared" si="27"/>
        <v>253</v>
      </c>
      <c r="Y48" s="73"/>
    </row>
    <row r="49" spans="1:25" s="78" customFormat="1" ht="12.75">
      <c r="A49" s="17">
        <v>2010</v>
      </c>
      <c r="B49" s="62">
        <f t="shared" si="14"/>
        <v>38</v>
      </c>
      <c r="C49" s="64">
        <f t="shared" si="15"/>
        <v>400</v>
      </c>
      <c r="D49" s="152">
        <f>3+5+3+0</f>
        <v>11</v>
      </c>
      <c r="E49" s="152">
        <f>4+8+7+8</f>
        <v>27</v>
      </c>
      <c r="F49" s="152"/>
      <c r="G49" s="65">
        <f t="shared" si="16"/>
        <v>239</v>
      </c>
      <c r="H49" s="64">
        <f t="shared" si="17"/>
        <v>161</v>
      </c>
      <c r="I49" s="63"/>
      <c r="J49" s="72">
        <f t="shared" si="18"/>
        <v>13</v>
      </c>
      <c r="K49" s="64">
        <f t="shared" si="19"/>
        <v>228</v>
      </c>
      <c r="L49" s="152">
        <f>1+3+0+0</f>
        <v>4</v>
      </c>
      <c r="M49" s="152">
        <f>1+2+4+2</f>
        <v>9</v>
      </c>
      <c r="N49" s="152"/>
      <c r="O49" s="65">
        <f t="shared" si="20"/>
        <v>100</v>
      </c>
      <c r="P49" s="65">
        <f t="shared" si="21"/>
        <v>128</v>
      </c>
      <c r="Q49" s="93"/>
      <c r="R49" s="62">
        <f t="shared" si="22"/>
        <v>51</v>
      </c>
      <c r="S49" s="64">
        <f t="shared" si="23"/>
        <v>628</v>
      </c>
      <c r="T49" s="65">
        <f t="shared" si="24"/>
        <v>15</v>
      </c>
      <c r="U49" s="65">
        <f t="shared" si="25"/>
        <v>36</v>
      </c>
      <c r="V49" s="65"/>
      <c r="W49" s="65">
        <f t="shared" si="26"/>
        <v>339</v>
      </c>
      <c r="X49" s="65">
        <f t="shared" si="27"/>
        <v>289</v>
      </c>
      <c r="Y49" s="73"/>
    </row>
    <row r="50" spans="1:25" s="179" customFormat="1" ht="12.75">
      <c r="A50" s="171">
        <v>2011</v>
      </c>
      <c r="B50" s="62">
        <f aca="true" t="shared" si="28" ref="B50:B55">D50+E50</f>
        <v>38</v>
      </c>
      <c r="C50" s="140">
        <f aca="true" t="shared" si="29" ref="C50:C55">C49+B50</f>
        <v>438</v>
      </c>
      <c r="D50" s="150">
        <f>3+3+5+2</f>
        <v>13</v>
      </c>
      <c r="E50" s="150">
        <f>6+5+5+9</f>
        <v>25</v>
      </c>
      <c r="F50" s="150"/>
      <c r="G50" s="147">
        <f t="shared" si="16"/>
        <v>252</v>
      </c>
      <c r="H50" s="140">
        <f t="shared" si="17"/>
        <v>186</v>
      </c>
      <c r="I50" s="141"/>
      <c r="J50" s="172">
        <f aca="true" t="shared" si="30" ref="J50:J55">L50+M50</f>
        <v>21</v>
      </c>
      <c r="K50" s="140">
        <f aca="true" t="shared" si="31" ref="K50:K55">K49+J50</f>
        <v>249</v>
      </c>
      <c r="L50" s="183">
        <f>0+0+2+0</f>
        <v>2</v>
      </c>
      <c r="M50" s="150">
        <f>5+7+3+4</f>
        <v>19</v>
      </c>
      <c r="N50" s="150"/>
      <c r="O50" s="147">
        <f t="shared" si="20"/>
        <v>102</v>
      </c>
      <c r="P50" s="147">
        <f t="shared" si="21"/>
        <v>147</v>
      </c>
      <c r="Q50" s="182"/>
      <c r="R50" s="175">
        <f t="shared" si="22"/>
        <v>59</v>
      </c>
      <c r="S50" s="140">
        <f t="shared" si="23"/>
        <v>687</v>
      </c>
      <c r="T50" s="147">
        <f t="shared" si="24"/>
        <v>15</v>
      </c>
      <c r="U50" s="147">
        <f t="shared" si="25"/>
        <v>44</v>
      </c>
      <c r="V50" s="147"/>
      <c r="W50" s="147">
        <f t="shared" si="26"/>
        <v>354</v>
      </c>
      <c r="X50" s="147">
        <f t="shared" si="27"/>
        <v>333</v>
      </c>
      <c r="Y50" s="183"/>
    </row>
    <row r="51" spans="1:25" s="179" customFormat="1" ht="12.75">
      <c r="A51" s="171">
        <v>2012</v>
      </c>
      <c r="B51" s="186">
        <f t="shared" si="28"/>
        <v>44</v>
      </c>
      <c r="C51" s="140">
        <f t="shared" si="29"/>
        <v>482</v>
      </c>
      <c r="D51" s="150">
        <f>0+4+5+3</f>
        <v>12</v>
      </c>
      <c r="E51" s="150">
        <f>8+7+6+11</f>
        <v>32</v>
      </c>
      <c r="F51" s="150"/>
      <c r="G51" s="147">
        <f t="shared" si="16"/>
        <v>264</v>
      </c>
      <c r="H51" s="140">
        <f t="shared" si="17"/>
        <v>218</v>
      </c>
      <c r="I51" s="141"/>
      <c r="J51" s="172">
        <f t="shared" si="30"/>
        <v>15</v>
      </c>
      <c r="K51" s="140">
        <f t="shared" si="31"/>
        <v>264</v>
      </c>
      <c r="L51" s="183">
        <f>0+0+0+0</f>
        <v>0</v>
      </c>
      <c r="M51" s="150">
        <f>6+4+2+3</f>
        <v>15</v>
      </c>
      <c r="N51" s="150"/>
      <c r="O51" s="147">
        <f t="shared" si="20"/>
        <v>102</v>
      </c>
      <c r="P51" s="147">
        <f t="shared" si="21"/>
        <v>162</v>
      </c>
      <c r="Q51" s="182"/>
      <c r="R51" s="175">
        <f t="shared" si="22"/>
        <v>59</v>
      </c>
      <c r="S51" s="140">
        <f t="shared" si="23"/>
        <v>746</v>
      </c>
      <c r="T51" s="147">
        <f t="shared" si="24"/>
        <v>12</v>
      </c>
      <c r="U51" s="147">
        <f t="shared" si="25"/>
        <v>47</v>
      </c>
      <c r="V51" s="147"/>
      <c r="W51" s="147">
        <f t="shared" si="26"/>
        <v>366</v>
      </c>
      <c r="X51" s="147">
        <f t="shared" si="27"/>
        <v>380</v>
      </c>
      <c r="Y51" s="183"/>
    </row>
    <row r="52" spans="1:25" s="179" customFormat="1" ht="12.75">
      <c r="A52" s="171">
        <v>2013</v>
      </c>
      <c r="B52" s="186">
        <f t="shared" si="28"/>
        <v>42</v>
      </c>
      <c r="C52" s="140">
        <f t="shared" si="29"/>
        <v>524</v>
      </c>
      <c r="D52" s="150">
        <f>1+1+0+1</f>
        <v>3</v>
      </c>
      <c r="E52" s="150">
        <f>5+7+14+13</f>
        <v>39</v>
      </c>
      <c r="F52" s="150"/>
      <c r="G52" s="147">
        <f t="shared" si="16"/>
        <v>267</v>
      </c>
      <c r="H52" s="140">
        <f t="shared" si="17"/>
        <v>257</v>
      </c>
      <c r="I52" s="141"/>
      <c r="J52" s="172">
        <f t="shared" si="30"/>
        <v>16</v>
      </c>
      <c r="K52" s="140">
        <f t="shared" si="31"/>
        <v>280</v>
      </c>
      <c r="L52" s="183">
        <v>2</v>
      </c>
      <c r="M52" s="150">
        <v>14</v>
      </c>
      <c r="N52" s="150"/>
      <c r="O52" s="147">
        <f t="shared" si="20"/>
        <v>104</v>
      </c>
      <c r="P52" s="147">
        <f t="shared" si="21"/>
        <v>176</v>
      </c>
      <c r="Q52" s="182"/>
      <c r="R52" s="175">
        <f t="shared" si="22"/>
        <v>58</v>
      </c>
      <c r="S52" s="140">
        <f t="shared" si="23"/>
        <v>804</v>
      </c>
      <c r="T52" s="147">
        <f t="shared" si="24"/>
        <v>5</v>
      </c>
      <c r="U52" s="147">
        <f t="shared" si="25"/>
        <v>53</v>
      </c>
      <c r="V52" s="147"/>
      <c r="W52" s="147">
        <f t="shared" si="26"/>
        <v>371</v>
      </c>
      <c r="X52" s="147">
        <f t="shared" si="27"/>
        <v>433</v>
      </c>
      <c r="Y52" s="183"/>
    </row>
    <row r="53" spans="1:25" s="185" customFormat="1" ht="12.75">
      <c r="A53" s="171">
        <v>2014</v>
      </c>
      <c r="B53" s="186">
        <f t="shared" si="28"/>
        <v>47</v>
      </c>
      <c r="C53" s="140">
        <f t="shared" si="29"/>
        <v>571</v>
      </c>
      <c r="D53" s="150">
        <f>2+5+0+0</f>
        <v>7</v>
      </c>
      <c r="E53" s="150">
        <f>10+13+10+7</f>
        <v>40</v>
      </c>
      <c r="F53" s="150"/>
      <c r="G53" s="147">
        <f t="shared" si="16"/>
        <v>274</v>
      </c>
      <c r="H53" s="140">
        <f t="shared" si="17"/>
        <v>297</v>
      </c>
      <c r="I53" s="141"/>
      <c r="J53" s="172">
        <f t="shared" si="30"/>
        <v>17</v>
      </c>
      <c r="K53" s="140">
        <f t="shared" si="31"/>
        <v>297</v>
      </c>
      <c r="L53" s="183">
        <f>0+0+0+1</f>
        <v>1</v>
      </c>
      <c r="M53" s="150">
        <f>5+3+4+4</f>
        <v>16</v>
      </c>
      <c r="N53" s="150"/>
      <c r="O53" s="147">
        <f t="shared" si="20"/>
        <v>105</v>
      </c>
      <c r="P53" s="147">
        <f t="shared" si="21"/>
        <v>192</v>
      </c>
      <c r="Q53" s="182"/>
      <c r="R53" s="175">
        <f t="shared" si="22"/>
        <v>64</v>
      </c>
      <c r="S53" s="140">
        <f t="shared" si="23"/>
        <v>868</v>
      </c>
      <c r="T53" s="147">
        <f t="shared" si="24"/>
        <v>8</v>
      </c>
      <c r="U53" s="147">
        <f t="shared" si="25"/>
        <v>56</v>
      </c>
      <c r="V53" s="147"/>
      <c r="W53" s="147">
        <f t="shared" si="26"/>
        <v>379</v>
      </c>
      <c r="X53" s="147">
        <f t="shared" si="27"/>
        <v>489</v>
      </c>
      <c r="Y53" s="271"/>
    </row>
    <row r="54" spans="1:25" s="179" customFormat="1" ht="12.75">
      <c r="A54" s="171">
        <v>2015</v>
      </c>
      <c r="B54" s="186">
        <f t="shared" si="28"/>
        <v>37</v>
      </c>
      <c r="C54" s="140">
        <f t="shared" si="29"/>
        <v>608</v>
      </c>
      <c r="D54" s="150">
        <f>0+1+1+0</f>
        <v>2</v>
      </c>
      <c r="E54" s="150">
        <f>11+4+8+12</f>
        <v>35</v>
      </c>
      <c r="F54" s="150"/>
      <c r="G54" s="147">
        <f t="shared" si="16"/>
        <v>276</v>
      </c>
      <c r="H54" s="140">
        <f t="shared" si="17"/>
        <v>332</v>
      </c>
      <c r="I54" s="141"/>
      <c r="J54" s="172">
        <f t="shared" si="30"/>
        <v>10</v>
      </c>
      <c r="K54" s="140">
        <f t="shared" si="31"/>
        <v>307</v>
      </c>
      <c r="L54" s="150">
        <f>0+0+1+1</f>
        <v>2</v>
      </c>
      <c r="M54" s="150">
        <f>2+3+3</f>
        <v>8</v>
      </c>
      <c r="N54" s="150"/>
      <c r="O54" s="147">
        <f t="shared" si="20"/>
        <v>107</v>
      </c>
      <c r="P54" s="147">
        <f t="shared" si="21"/>
        <v>200</v>
      </c>
      <c r="Q54" s="182"/>
      <c r="R54" s="175">
        <f t="shared" si="22"/>
        <v>47</v>
      </c>
      <c r="S54" s="140">
        <f t="shared" si="23"/>
        <v>915</v>
      </c>
      <c r="T54" s="147">
        <f t="shared" si="24"/>
        <v>4</v>
      </c>
      <c r="U54" s="147">
        <f t="shared" si="25"/>
        <v>43</v>
      </c>
      <c r="V54" s="147"/>
      <c r="W54" s="147">
        <f t="shared" si="26"/>
        <v>383</v>
      </c>
      <c r="X54" s="147">
        <f t="shared" si="27"/>
        <v>532</v>
      </c>
      <c r="Y54" s="183"/>
    </row>
    <row r="55" spans="1:25" s="255" customFormat="1" ht="12.75">
      <c r="A55" s="17">
        <v>2016</v>
      </c>
      <c r="B55" s="186">
        <f t="shared" si="28"/>
        <v>40</v>
      </c>
      <c r="C55" s="148">
        <f t="shared" si="29"/>
        <v>648</v>
      </c>
      <c r="D55" s="223">
        <f>2+1+0+2</f>
        <v>5</v>
      </c>
      <c r="E55" s="223">
        <f>12+8+5+10</f>
        <v>35</v>
      </c>
      <c r="F55" s="223"/>
      <c r="G55" s="156">
        <f t="shared" si="16"/>
        <v>281</v>
      </c>
      <c r="H55" s="148">
        <f t="shared" si="17"/>
        <v>367</v>
      </c>
      <c r="I55" s="187"/>
      <c r="J55" s="143">
        <f t="shared" si="30"/>
        <v>22</v>
      </c>
      <c r="K55" s="148">
        <f t="shared" si="31"/>
        <v>329</v>
      </c>
      <c r="L55" s="223">
        <f>0+1+1+1</f>
        <v>3</v>
      </c>
      <c r="M55" s="223">
        <f>7+4+6+2</f>
        <v>19</v>
      </c>
      <c r="N55" s="223"/>
      <c r="O55" s="156">
        <f t="shared" si="20"/>
        <v>110</v>
      </c>
      <c r="P55" s="156">
        <f t="shared" si="21"/>
        <v>219</v>
      </c>
      <c r="Q55" s="213"/>
      <c r="R55" s="186">
        <f t="shared" si="22"/>
        <v>62</v>
      </c>
      <c r="S55" s="148">
        <f t="shared" si="23"/>
        <v>977</v>
      </c>
      <c r="T55" s="156">
        <f t="shared" si="24"/>
        <v>8</v>
      </c>
      <c r="U55" s="156">
        <f t="shared" si="25"/>
        <v>54</v>
      </c>
      <c r="V55" s="156"/>
      <c r="W55" s="156">
        <f t="shared" si="26"/>
        <v>391</v>
      </c>
      <c r="X55" s="156">
        <f t="shared" si="27"/>
        <v>586</v>
      </c>
      <c r="Y55" s="220"/>
    </row>
    <row r="56" spans="1:25" s="185" customFormat="1" ht="12.75">
      <c r="A56" s="17">
        <v>2017</v>
      </c>
      <c r="B56" s="186">
        <f>D56+E56</f>
        <v>42</v>
      </c>
      <c r="C56" s="140">
        <f>C55+B56</f>
        <v>690</v>
      </c>
      <c r="D56" s="150">
        <v>4</v>
      </c>
      <c r="E56" s="150">
        <f>15+9+6+8</f>
        <v>38</v>
      </c>
      <c r="F56" s="150"/>
      <c r="G56" s="155">
        <f t="shared" si="16"/>
        <v>285</v>
      </c>
      <c r="H56" s="140">
        <f t="shared" si="17"/>
        <v>405</v>
      </c>
      <c r="I56" s="141"/>
      <c r="J56" s="172">
        <f>L56+M56</f>
        <v>23</v>
      </c>
      <c r="K56" s="140">
        <f>K55+J56</f>
        <v>352</v>
      </c>
      <c r="L56" s="150">
        <f>0+0+0+1</f>
        <v>1</v>
      </c>
      <c r="M56" s="150">
        <f>8+6+1+7</f>
        <v>22</v>
      </c>
      <c r="N56" s="150"/>
      <c r="O56" s="147">
        <f t="shared" si="20"/>
        <v>111</v>
      </c>
      <c r="P56" s="147">
        <f t="shared" si="21"/>
        <v>241</v>
      </c>
      <c r="Q56" s="182"/>
      <c r="R56" s="175">
        <f t="shared" si="22"/>
        <v>65</v>
      </c>
      <c r="S56" s="140">
        <f t="shared" si="23"/>
        <v>1042</v>
      </c>
      <c r="T56" s="147">
        <f t="shared" si="24"/>
        <v>5</v>
      </c>
      <c r="U56" s="147">
        <f t="shared" si="25"/>
        <v>60</v>
      </c>
      <c r="V56" s="147"/>
      <c r="W56" s="147">
        <f t="shared" si="26"/>
        <v>396</v>
      </c>
      <c r="X56" s="147">
        <f t="shared" si="27"/>
        <v>646</v>
      </c>
      <c r="Y56" s="271"/>
    </row>
    <row r="57" spans="1:25" s="185" customFormat="1" ht="12.75">
      <c r="A57" s="17">
        <v>2018</v>
      </c>
      <c r="B57" s="186">
        <f>D57+E57+F57</f>
        <v>55</v>
      </c>
      <c r="C57" s="140">
        <f>C56+B57</f>
        <v>745</v>
      </c>
      <c r="D57" s="150">
        <f>2+2+1+3</f>
        <v>8</v>
      </c>
      <c r="E57" s="150">
        <f>12+7+18+9</f>
        <v>46</v>
      </c>
      <c r="F57" s="150">
        <f>0+1</f>
        <v>1</v>
      </c>
      <c r="G57" s="155">
        <f t="shared" si="16"/>
        <v>293</v>
      </c>
      <c r="H57" s="140">
        <f t="shared" si="17"/>
        <v>451</v>
      </c>
      <c r="I57" s="141">
        <f>F56+F57</f>
        <v>1</v>
      </c>
      <c r="J57" s="172">
        <f>L57+M57</f>
        <v>19</v>
      </c>
      <c r="K57" s="140">
        <f>K56+J57</f>
        <v>371</v>
      </c>
      <c r="L57" s="150">
        <f>1+0+1+1</f>
        <v>3</v>
      </c>
      <c r="M57" s="150">
        <f>6+1+5+4</f>
        <v>16</v>
      </c>
      <c r="N57" s="150"/>
      <c r="O57" s="147">
        <f t="shared" si="20"/>
        <v>114</v>
      </c>
      <c r="P57" s="147">
        <f t="shared" si="21"/>
        <v>257</v>
      </c>
      <c r="Q57" s="141">
        <f>N56+N57</f>
        <v>0</v>
      </c>
      <c r="R57" s="175">
        <f t="shared" si="22"/>
        <v>74</v>
      </c>
      <c r="S57" s="140">
        <f t="shared" si="23"/>
        <v>1116</v>
      </c>
      <c r="T57" s="147">
        <f t="shared" si="24"/>
        <v>11</v>
      </c>
      <c r="U57" s="147">
        <f t="shared" si="25"/>
        <v>62</v>
      </c>
      <c r="V57" s="147">
        <f>F57+N57</f>
        <v>1</v>
      </c>
      <c r="W57" s="147">
        <f t="shared" si="26"/>
        <v>407</v>
      </c>
      <c r="X57" s="147">
        <f t="shared" si="27"/>
        <v>708</v>
      </c>
      <c r="Y57" s="147">
        <f>Y56+V57</f>
        <v>1</v>
      </c>
    </row>
    <row r="58" spans="1:25" s="179" customFormat="1" ht="12.75">
      <c r="A58" s="17">
        <v>2019</v>
      </c>
      <c r="B58" s="186">
        <f>D58+E58+F58</f>
        <v>40</v>
      </c>
      <c r="C58" s="140">
        <f>C57+B58</f>
        <v>785</v>
      </c>
      <c r="D58" s="150">
        <f>1+3+2+4</f>
        <v>10</v>
      </c>
      <c r="E58" s="150">
        <f>10+8+6+6</f>
        <v>30</v>
      </c>
      <c r="F58" s="150">
        <f>0+0+0+0</f>
        <v>0</v>
      </c>
      <c r="G58" s="155">
        <f>G57+D58</f>
        <v>303</v>
      </c>
      <c r="H58" s="140">
        <f>H57+E58</f>
        <v>481</v>
      </c>
      <c r="I58" s="141">
        <f>F57+F58</f>
        <v>1</v>
      </c>
      <c r="J58" s="172">
        <f>L58+M58+N58</f>
        <v>15</v>
      </c>
      <c r="K58" s="140">
        <f>K57+J58</f>
        <v>386</v>
      </c>
      <c r="L58" s="150">
        <f>4+1+1+0</f>
        <v>6</v>
      </c>
      <c r="M58" s="150">
        <f>2+3+0+4</f>
        <v>9</v>
      </c>
      <c r="N58" s="150">
        <f>0+0+0+0</f>
        <v>0</v>
      </c>
      <c r="O58" s="147">
        <f>O57+L58</f>
        <v>120</v>
      </c>
      <c r="P58" s="147">
        <f>P57+M58</f>
        <v>266</v>
      </c>
      <c r="Q58" s="141">
        <f>N57+N58</f>
        <v>0</v>
      </c>
      <c r="R58" s="175">
        <f aca="true" t="shared" si="32" ref="R58:U59">B58+J58</f>
        <v>55</v>
      </c>
      <c r="S58" s="140">
        <f t="shared" si="32"/>
        <v>1171</v>
      </c>
      <c r="T58" s="147">
        <f t="shared" si="32"/>
        <v>16</v>
      </c>
      <c r="U58" s="147">
        <f t="shared" si="32"/>
        <v>39</v>
      </c>
      <c r="V58" s="147">
        <f>F58+N58</f>
        <v>0</v>
      </c>
      <c r="W58" s="147">
        <f>W57+T58</f>
        <v>423</v>
      </c>
      <c r="X58" s="147">
        <f>X57+U58</f>
        <v>747</v>
      </c>
      <c r="Y58" s="147">
        <f>Y57+V58</f>
        <v>1</v>
      </c>
    </row>
    <row r="59" spans="1:25" s="185" customFormat="1" ht="12.75">
      <c r="A59" s="243">
        <v>2020</v>
      </c>
      <c r="B59" s="201">
        <f>D59+E59+F59</f>
        <v>10</v>
      </c>
      <c r="C59" s="192">
        <f>C58+B59</f>
        <v>795</v>
      </c>
      <c r="D59" s="195">
        <f>4</f>
        <v>4</v>
      </c>
      <c r="E59" s="195">
        <f>6</f>
        <v>6</v>
      </c>
      <c r="F59" s="195">
        <f>0+0+0+0</f>
        <v>0</v>
      </c>
      <c r="G59" s="196">
        <f>G58+D59</f>
        <v>307</v>
      </c>
      <c r="H59" s="192">
        <f>H58+E59</f>
        <v>487</v>
      </c>
      <c r="I59" s="165">
        <f>F58+F59</f>
        <v>0</v>
      </c>
      <c r="J59" s="191">
        <f>L59+M59+N59</f>
        <v>2</v>
      </c>
      <c r="K59" s="192">
        <f>K58+J59</f>
        <v>388</v>
      </c>
      <c r="L59" s="195">
        <f>0</f>
        <v>0</v>
      </c>
      <c r="M59" s="195">
        <f>2</f>
        <v>2</v>
      </c>
      <c r="N59" s="195">
        <f>0+0+0+0</f>
        <v>0</v>
      </c>
      <c r="O59" s="193">
        <f>O58+L59</f>
        <v>120</v>
      </c>
      <c r="P59" s="193">
        <f>P58+M59</f>
        <v>268</v>
      </c>
      <c r="Q59" s="165">
        <f>N58+N59</f>
        <v>0</v>
      </c>
      <c r="R59" s="190">
        <f t="shared" si="32"/>
        <v>12</v>
      </c>
      <c r="S59" s="192">
        <f t="shared" si="32"/>
        <v>1183</v>
      </c>
      <c r="T59" s="193">
        <f t="shared" si="32"/>
        <v>4</v>
      </c>
      <c r="U59" s="193">
        <f t="shared" si="32"/>
        <v>8</v>
      </c>
      <c r="V59" s="193">
        <f>F59+N59</f>
        <v>0</v>
      </c>
      <c r="W59" s="193">
        <f>W58+T59</f>
        <v>427</v>
      </c>
      <c r="X59" s="193">
        <f>X58+U59</f>
        <v>755</v>
      </c>
      <c r="Y59" s="193">
        <f>Y58+V59</f>
        <v>1</v>
      </c>
    </row>
    <row r="60" spans="1:25" ht="12.75">
      <c r="A60" s="17"/>
      <c r="B60" s="37"/>
      <c r="C60" s="30"/>
      <c r="D60" s="30"/>
      <c r="E60" s="30"/>
      <c r="F60" s="30"/>
      <c r="G60" s="30"/>
      <c r="H60" s="35"/>
      <c r="I60" s="31"/>
      <c r="J60" s="20"/>
      <c r="K60" s="30"/>
      <c r="L60" s="30"/>
      <c r="M60" s="30"/>
      <c r="N60" s="30"/>
      <c r="O60" s="30"/>
      <c r="P60" s="35"/>
      <c r="Q60" s="31"/>
      <c r="R60" s="37"/>
      <c r="S60" s="30"/>
      <c r="T60" s="30"/>
      <c r="U60" s="30"/>
      <c r="V60" s="30"/>
      <c r="W60" s="30"/>
      <c r="X60" s="30"/>
      <c r="Y60" s="30"/>
    </row>
    <row r="61" spans="1:25" ht="12.75">
      <c r="A61" s="17"/>
      <c r="B61" s="37"/>
      <c r="C61" s="30"/>
      <c r="D61" s="30"/>
      <c r="E61" s="30"/>
      <c r="F61" s="30"/>
      <c r="G61" s="30"/>
      <c r="H61" s="35"/>
      <c r="I61" s="31"/>
      <c r="J61" s="20"/>
      <c r="K61" s="30"/>
      <c r="L61" s="30"/>
      <c r="M61" s="30"/>
      <c r="N61" s="30"/>
      <c r="O61" s="30"/>
      <c r="P61" s="35"/>
      <c r="Q61" s="31"/>
      <c r="R61" s="37"/>
      <c r="S61" s="30"/>
      <c r="T61" s="30"/>
      <c r="U61" s="30"/>
      <c r="V61" s="30"/>
      <c r="W61" s="30"/>
      <c r="X61" s="30"/>
      <c r="Y61" s="30"/>
    </row>
    <row r="62" spans="1:25" ht="12.75">
      <c r="A62" s="17"/>
      <c r="B62" s="37"/>
      <c r="C62" s="30"/>
      <c r="D62" s="30"/>
      <c r="E62" s="30"/>
      <c r="F62" s="30"/>
      <c r="G62" s="30"/>
      <c r="H62" s="35"/>
      <c r="I62" s="31"/>
      <c r="J62" s="20"/>
      <c r="K62" s="30"/>
      <c r="L62" s="30"/>
      <c r="M62" s="30"/>
      <c r="N62" s="30"/>
      <c r="O62" s="30"/>
      <c r="P62" s="35"/>
      <c r="Q62" s="31"/>
      <c r="R62" s="37"/>
      <c r="S62" s="30"/>
      <c r="T62" s="30"/>
      <c r="U62" s="30"/>
      <c r="V62" s="30"/>
      <c r="W62" s="30"/>
      <c r="X62" s="30"/>
      <c r="Y62" s="30"/>
    </row>
    <row r="63" spans="1:25" ht="12.75">
      <c r="A63" s="17"/>
      <c r="B63" s="37"/>
      <c r="C63" s="30"/>
      <c r="D63" s="30"/>
      <c r="E63" s="30"/>
      <c r="F63" s="30"/>
      <c r="G63" s="30"/>
      <c r="H63" s="35"/>
      <c r="I63" s="31"/>
      <c r="J63" s="20"/>
      <c r="K63" s="30"/>
      <c r="L63" s="30"/>
      <c r="M63" s="30"/>
      <c r="N63" s="30"/>
      <c r="O63" s="30"/>
      <c r="P63" s="35"/>
      <c r="Q63" s="31"/>
      <c r="R63" s="37"/>
      <c r="S63" s="30"/>
      <c r="T63" s="30"/>
      <c r="U63" s="30"/>
      <c r="V63" s="30"/>
      <c r="W63" s="30"/>
      <c r="X63" s="30"/>
      <c r="Y63" s="30"/>
    </row>
    <row r="64" spans="1:25" ht="12.75">
      <c r="A64" s="17"/>
      <c r="B64" s="37"/>
      <c r="C64" s="30"/>
      <c r="D64" s="30"/>
      <c r="E64" s="30"/>
      <c r="F64" s="30"/>
      <c r="G64" s="30"/>
      <c r="H64" s="35"/>
      <c r="I64" s="31"/>
      <c r="J64" s="20"/>
      <c r="K64" s="30"/>
      <c r="L64" s="30"/>
      <c r="M64" s="30"/>
      <c r="N64" s="30"/>
      <c r="O64" s="30"/>
      <c r="P64" s="35"/>
      <c r="Q64" s="31"/>
      <c r="R64" s="37"/>
      <c r="S64" s="30"/>
      <c r="T64" s="30"/>
      <c r="U64" s="30"/>
      <c r="V64" s="30"/>
      <c r="W64" s="30"/>
      <c r="X64" s="30"/>
      <c r="Y64" s="30"/>
    </row>
    <row r="65" spans="1:25" ht="12.75">
      <c r="A65" s="17"/>
      <c r="B65" s="37"/>
      <c r="C65" s="30"/>
      <c r="D65" s="30"/>
      <c r="E65" s="30"/>
      <c r="F65" s="30"/>
      <c r="G65" s="30"/>
      <c r="H65" s="35"/>
      <c r="I65" s="31"/>
      <c r="J65" s="20"/>
      <c r="K65" s="30"/>
      <c r="L65" s="30"/>
      <c r="M65" s="30"/>
      <c r="N65" s="30"/>
      <c r="O65" s="30"/>
      <c r="P65" s="35"/>
      <c r="Q65" s="31"/>
      <c r="R65" s="37"/>
      <c r="S65" s="30"/>
      <c r="T65" s="30"/>
      <c r="U65" s="30"/>
      <c r="V65" s="30"/>
      <c r="W65" s="30"/>
      <c r="X65" s="30"/>
      <c r="Y65" s="30"/>
    </row>
    <row r="66" spans="1:25" ht="12.75">
      <c r="A66" s="17"/>
      <c r="B66" s="37"/>
      <c r="C66" s="30"/>
      <c r="D66" s="30"/>
      <c r="E66" s="30"/>
      <c r="F66" s="30"/>
      <c r="G66" s="30"/>
      <c r="H66" s="35"/>
      <c r="I66" s="31"/>
      <c r="J66" s="20"/>
      <c r="K66" s="30"/>
      <c r="L66" s="30"/>
      <c r="M66" s="30"/>
      <c r="N66" s="30"/>
      <c r="O66" s="30"/>
      <c r="P66" s="35"/>
      <c r="Q66" s="31"/>
      <c r="R66" s="37"/>
      <c r="S66" s="30"/>
      <c r="T66" s="30"/>
      <c r="U66" s="30"/>
      <c r="V66" s="30"/>
      <c r="W66" s="30"/>
      <c r="X66" s="30"/>
      <c r="Y66" s="30"/>
    </row>
    <row r="67" spans="1:25" ht="12.75">
      <c r="A67" s="17"/>
      <c r="B67" s="37"/>
      <c r="C67" s="30"/>
      <c r="D67" s="30"/>
      <c r="E67" s="30"/>
      <c r="F67" s="30"/>
      <c r="G67" s="30"/>
      <c r="H67" s="35"/>
      <c r="I67" s="31"/>
      <c r="J67" s="20"/>
      <c r="K67" s="30"/>
      <c r="L67" s="30"/>
      <c r="M67" s="30"/>
      <c r="N67" s="30"/>
      <c r="O67" s="30"/>
      <c r="P67" s="35"/>
      <c r="Q67" s="31"/>
      <c r="R67" s="37"/>
      <c r="S67" s="30"/>
      <c r="T67" s="30"/>
      <c r="U67" s="30"/>
      <c r="V67" s="30"/>
      <c r="W67" s="30"/>
      <c r="X67" s="30"/>
      <c r="Y67" s="30"/>
    </row>
    <row r="68" spans="1:25" ht="12.75">
      <c r="A68" s="17"/>
      <c r="B68" s="37"/>
      <c r="C68" s="30"/>
      <c r="D68" s="30"/>
      <c r="E68" s="30"/>
      <c r="F68" s="30"/>
      <c r="G68" s="30"/>
      <c r="H68" s="35"/>
      <c r="I68" s="31"/>
      <c r="J68" s="20"/>
      <c r="K68" s="30"/>
      <c r="L68" s="30"/>
      <c r="M68" s="30"/>
      <c r="N68" s="30"/>
      <c r="O68" s="30"/>
      <c r="P68" s="35"/>
      <c r="Q68" s="31"/>
      <c r="R68" s="37"/>
      <c r="S68" s="30"/>
      <c r="T68" s="30"/>
      <c r="U68" s="30"/>
      <c r="V68" s="30"/>
      <c r="W68" s="30"/>
      <c r="X68" s="30"/>
      <c r="Y68" s="30"/>
    </row>
    <row r="69" spans="1:25" ht="12.75">
      <c r="A69" s="17"/>
      <c r="B69" s="37"/>
      <c r="C69" s="30"/>
      <c r="D69" s="30"/>
      <c r="E69" s="30"/>
      <c r="F69" s="30"/>
      <c r="G69" s="30"/>
      <c r="H69" s="35"/>
      <c r="I69" s="31"/>
      <c r="J69" s="20"/>
      <c r="K69" s="30"/>
      <c r="L69" s="30"/>
      <c r="M69" s="30"/>
      <c r="N69" s="30"/>
      <c r="O69" s="30"/>
      <c r="P69" s="35"/>
      <c r="Q69" s="31"/>
      <c r="R69" s="37"/>
      <c r="S69" s="30"/>
      <c r="T69" s="30"/>
      <c r="U69" s="30"/>
      <c r="V69" s="30"/>
      <c r="W69" s="30"/>
      <c r="X69" s="30"/>
      <c r="Y69" s="30"/>
    </row>
    <row r="70" spans="1:25" ht="12.75">
      <c r="A70" s="17"/>
      <c r="B70" s="37"/>
      <c r="C70" s="30"/>
      <c r="D70" s="30"/>
      <c r="E70" s="30"/>
      <c r="F70" s="30"/>
      <c r="G70" s="30"/>
      <c r="H70" s="35"/>
      <c r="I70" s="31"/>
      <c r="J70" s="20"/>
      <c r="K70" s="30"/>
      <c r="L70" s="30"/>
      <c r="M70" s="30"/>
      <c r="N70" s="30"/>
      <c r="O70" s="30"/>
      <c r="P70" s="35"/>
      <c r="Q70" s="31"/>
      <c r="R70" s="37"/>
      <c r="S70" s="30"/>
      <c r="T70" s="30"/>
      <c r="U70" s="30"/>
      <c r="V70" s="30"/>
      <c r="W70" s="30"/>
      <c r="X70" s="30"/>
      <c r="Y70" s="30"/>
    </row>
    <row r="71" spans="1:25" ht="12.75">
      <c r="A71" s="17"/>
      <c r="B71" s="37"/>
      <c r="C71" s="30"/>
      <c r="D71" s="30"/>
      <c r="E71" s="30"/>
      <c r="F71" s="30"/>
      <c r="G71" s="30"/>
      <c r="H71" s="35"/>
      <c r="I71" s="31"/>
      <c r="J71" s="20"/>
      <c r="K71" s="30"/>
      <c r="L71" s="30"/>
      <c r="M71" s="30"/>
      <c r="N71" s="30"/>
      <c r="O71" s="30"/>
      <c r="P71" s="35"/>
      <c r="Q71" s="31"/>
      <c r="R71" s="37"/>
      <c r="S71" s="30"/>
      <c r="T71" s="30"/>
      <c r="U71" s="30"/>
      <c r="V71" s="30"/>
      <c r="W71" s="30"/>
      <c r="X71" s="30"/>
      <c r="Y71" s="30"/>
    </row>
    <row r="72" spans="1:25" ht="12.75">
      <c r="A72" s="18"/>
      <c r="B72" s="38"/>
      <c r="C72" s="33"/>
      <c r="D72" s="33"/>
      <c r="E72" s="33"/>
      <c r="F72" s="33"/>
      <c r="G72" s="33"/>
      <c r="H72" s="36"/>
      <c r="I72" s="34"/>
      <c r="J72" s="21"/>
      <c r="K72" s="33"/>
      <c r="L72" s="33"/>
      <c r="M72" s="33"/>
      <c r="N72" s="33"/>
      <c r="O72" s="33"/>
      <c r="P72" s="36"/>
      <c r="Q72" s="34"/>
      <c r="R72" s="38"/>
      <c r="S72" s="33"/>
      <c r="T72" s="33"/>
      <c r="U72" s="33"/>
      <c r="V72" s="33"/>
      <c r="W72" s="33"/>
      <c r="X72" s="33"/>
      <c r="Y72" s="33"/>
    </row>
    <row r="73" spans="21:22" ht="12.75">
      <c r="U73" s="7"/>
      <c r="V73" s="7"/>
    </row>
    <row r="74" spans="21:22" ht="12.75">
      <c r="U74" s="7"/>
      <c r="V74" s="7"/>
    </row>
    <row r="75" spans="21:22" ht="12.75">
      <c r="U75" s="7"/>
      <c r="V75" s="7"/>
    </row>
    <row r="76" spans="21:22" ht="12.75">
      <c r="U76" s="7"/>
      <c r="V76" s="7"/>
    </row>
    <row r="77" spans="21:22" ht="12.75">
      <c r="U77" s="7"/>
      <c r="V77" s="7"/>
    </row>
    <row r="78" spans="21:22" ht="12.75">
      <c r="U78" s="7"/>
      <c r="V78" s="7"/>
    </row>
    <row r="79" spans="21:22" ht="12.75">
      <c r="U79" s="7"/>
      <c r="V79" s="7"/>
    </row>
    <row r="80" spans="21:22" ht="12.75">
      <c r="U80" s="7"/>
      <c r="V80" s="7"/>
    </row>
    <row r="81" spans="21:22" ht="12.75">
      <c r="U81" s="7"/>
      <c r="V81" s="7"/>
    </row>
    <row r="82" spans="21:22" ht="12.75">
      <c r="U82" s="7"/>
      <c r="V82" s="7"/>
    </row>
    <row r="83" spans="21:22" ht="12.75">
      <c r="U83" s="7"/>
      <c r="V83" s="7"/>
    </row>
    <row r="84" spans="21:22" ht="12.75">
      <c r="U84" s="7"/>
      <c r="V84" s="7"/>
    </row>
    <row r="85" spans="21:22" ht="12.75">
      <c r="U85" s="7"/>
      <c r="V85" s="7"/>
    </row>
    <row r="86" spans="21:22" ht="12.75">
      <c r="U86" s="7"/>
      <c r="V86" s="7"/>
    </row>
    <row r="87" spans="21:22" ht="12.75">
      <c r="U87" s="7"/>
      <c r="V87" s="7"/>
    </row>
    <row r="88" spans="21:22" ht="12.75">
      <c r="U88" s="7"/>
      <c r="V88" s="7"/>
    </row>
    <row r="89" spans="21:22" ht="12.75">
      <c r="U89" s="7"/>
      <c r="V89" s="7"/>
    </row>
    <row r="90" spans="21:22" ht="12.75">
      <c r="U90" s="7"/>
      <c r="V90" s="7"/>
    </row>
    <row r="91" spans="21:22" ht="12.75">
      <c r="U91" s="7"/>
      <c r="V91" s="7"/>
    </row>
    <row r="92" spans="21:22" ht="12.75">
      <c r="U92" s="7"/>
      <c r="V92" s="7"/>
    </row>
    <row r="93" spans="21:22" ht="12.75">
      <c r="U93" s="7"/>
      <c r="V93" s="7"/>
    </row>
    <row r="94" spans="21:22" ht="12.75">
      <c r="U94" s="7"/>
      <c r="V94" s="7"/>
    </row>
    <row r="95" spans="21:22" ht="12.75">
      <c r="U95" s="7"/>
      <c r="V95" s="7"/>
    </row>
    <row r="96" spans="21:22" ht="12.75">
      <c r="U96" s="7"/>
      <c r="V96" s="7"/>
    </row>
    <row r="97" spans="21:22" ht="12.75">
      <c r="U97" s="7"/>
      <c r="V97" s="7"/>
    </row>
    <row r="98" spans="21:22" ht="12.75">
      <c r="U98" s="7"/>
      <c r="V98" s="7"/>
    </row>
    <row r="99" spans="21:22" ht="12.75">
      <c r="U99" s="7"/>
      <c r="V99" s="7"/>
    </row>
    <row r="100" spans="21:22" ht="12.75">
      <c r="U100" s="7"/>
      <c r="V100" s="7"/>
    </row>
    <row r="101" spans="21:22" ht="12.75">
      <c r="U101" s="7"/>
      <c r="V101" s="7"/>
    </row>
    <row r="102" spans="21:22" ht="12.75">
      <c r="U102" s="7"/>
      <c r="V102" s="7"/>
    </row>
    <row r="103" spans="21:22" ht="12.75">
      <c r="U103" s="7"/>
      <c r="V103" s="7"/>
    </row>
    <row r="104" spans="21:22" ht="12.75">
      <c r="U104" s="7"/>
      <c r="V104" s="7"/>
    </row>
    <row r="105" spans="21:22" ht="12.75">
      <c r="U105" s="7"/>
      <c r="V105" s="7"/>
    </row>
    <row r="106" spans="21:22" ht="12.75">
      <c r="U106" s="7"/>
      <c r="V106" s="7"/>
    </row>
    <row r="107" spans="21:22" ht="12.75">
      <c r="U107" s="7"/>
      <c r="V107" s="7"/>
    </row>
    <row r="108" spans="21:22" ht="12.75">
      <c r="U108" s="7"/>
      <c r="V108" s="7"/>
    </row>
    <row r="109" spans="21:22" ht="12.75">
      <c r="U109" s="7"/>
      <c r="V109" s="7"/>
    </row>
    <row r="110" spans="21:22" ht="12.75">
      <c r="U110" s="7"/>
      <c r="V110" s="7"/>
    </row>
    <row r="111" spans="21:22" ht="12.75">
      <c r="U111" s="7"/>
      <c r="V111" s="7"/>
    </row>
    <row r="112" spans="21:22" ht="12.75">
      <c r="U112" s="7"/>
      <c r="V112" s="7"/>
    </row>
    <row r="113" spans="21:22" ht="12.75">
      <c r="U113" s="7"/>
      <c r="V113" s="7"/>
    </row>
    <row r="114" spans="21:22" ht="12.75">
      <c r="U114" s="7"/>
      <c r="V114" s="7"/>
    </row>
    <row r="115" spans="21:22" ht="12.75">
      <c r="U115" s="7"/>
      <c r="V115" s="7"/>
    </row>
    <row r="116" spans="21:22" ht="12.75">
      <c r="U116" s="7"/>
      <c r="V116" s="7"/>
    </row>
    <row r="117" spans="21:22" ht="12.75">
      <c r="U117" s="7"/>
      <c r="V117" s="7"/>
    </row>
    <row r="118" spans="21:22" ht="12.75">
      <c r="U118" s="7"/>
      <c r="V118" s="7"/>
    </row>
    <row r="119" spans="21:22" ht="12.75">
      <c r="U119" s="7"/>
      <c r="V119" s="7"/>
    </row>
    <row r="120" spans="21:22" ht="12.75">
      <c r="U120" s="7"/>
      <c r="V120" s="7"/>
    </row>
    <row r="121" spans="21:22" ht="12.75">
      <c r="U121" s="7"/>
      <c r="V121" s="7"/>
    </row>
    <row r="122" spans="21:22" ht="12.75">
      <c r="U122" s="7"/>
      <c r="V122" s="7"/>
    </row>
    <row r="123" spans="21:22" ht="12.75">
      <c r="U123" s="7"/>
      <c r="V123" s="7"/>
    </row>
    <row r="124" spans="21:22" ht="12.75">
      <c r="U124" s="7"/>
      <c r="V124" s="7"/>
    </row>
    <row r="125" spans="21:22" ht="12.75">
      <c r="U125" s="7"/>
      <c r="V125" s="7"/>
    </row>
    <row r="126" spans="21:22" ht="12.75">
      <c r="U126" s="7"/>
      <c r="V126" s="7"/>
    </row>
    <row r="127" spans="21:22" ht="12.75">
      <c r="U127" s="7"/>
      <c r="V127" s="7"/>
    </row>
    <row r="128" spans="21:22" ht="12.75">
      <c r="U128" s="7"/>
      <c r="V128" s="7"/>
    </row>
    <row r="129" spans="21:22" ht="12.75">
      <c r="U129" s="7"/>
      <c r="V129" s="7"/>
    </row>
    <row r="130" spans="21:22" ht="12.75">
      <c r="U130" s="7"/>
      <c r="V130" s="7"/>
    </row>
    <row r="131" spans="21:22" ht="12.75">
      <c r="U131" s="7"/>
      <c r="V131" s="7"/>
    </row>
    <row r="132" spans="21:22" ht="12.75">
      <c r="U132" s="7"/>
      <c r="V132" s="7"/>
    </row>
    <row r="133" spans="21:22" ht="12.75">
      <c r="U133" s="7"/>
      <c r="V133" s="7"/>
    </row>
    <row r="134" spans="21:22" ht="12.75">
      <c r="U134" s="7"/>
      <c r="V134" s="7"/>
    </row>
    <row r="135" spans="21:22" ht="12.75">
      <c r="U135" s="7"/>
      <c r="V135" s="7"/>
    </row>
    <row r="136" spans="21:22" ht="12.75">
      <c r="U136" s="7"/>
      <c r="V136" s="7"/>
    </row>
    <row r="137" spans="21:22" ht="12.75">
      <c r="U137" s="7"/>
      <c r="V137" s="7"/>
    </row>
    <row r="138" spans="21:22" ht="12.75">
      <c r="U138" s="7"/>
      <c r="V138" s="7"/>
    </row>
    <row r="139" spans="21:22" ht="12.75">
      <c r="U139" s="7"/>
      <c r="V139" s="7"/>
    </row>
    <row r="140" spans="21:22" ht="12.75">
      <c r="U140" s="7"/>
      <c r="V140" s="7"/>
    </row>
    <row r="141" spans="21:22" ht="12.75">
      <c r="U141" s="7"/>
      <c r="V141" s="7"/>
    </row>
    <row r="142" spans="21:22" ht="12.75">
      <c r="U142" s="7"/>
      <c r="V142" s="7"/>
    </row>
    <row r="143" spans="21:22" ht="12.75">
      <c r="U143" s="7"/>
      <c r="V143" s="7"/>
    </row>
    <row r="144" spans="21:22" ht="12.75">
      <c r="U144" s="7"/>
      <c r="V144" s="7"/>
    </row>
    <row r="145" spans="21:22" ht="12.75">
      <c r="U145" s="7"/>
      <c r="V145" s="7"/>
    </row>
    <row r="146" spans="21:22" ht="12.75">
      <c r="U146" s="7"/>
      <c r="V146" s="7"/>
    </row>
    <row r="147" spans="21:22" ht="12.75">
      <c r="U147" s="7"/>
      <c r="V147" s="7"/>
    </row>
    <row r="148" spans="21:22" ht="12.75">
      <c r="U148" s="7"/>
      <c r="V148" s="7"/>
    </row>
    <row r="149" spans="21:22" ht="12.75">
      <c r="U149" s="7"/>
      <c r="V149" s="7"/>
    </row>
    <row r="150" spans="21:22" ht="12.75">
      <c r="U150" s="7"/>
      <c r="V150" s="7"/>
    </row>
    <row r="151" spans="21:22" ht="12.75">
      <c r="U151" s="7"/>
      <c r="V151" s="7"/>
    </row>
    <row r="152" spans="21:22" ht="12.75">
      <c r="U152" s="7"/>
      <c r="V152" s="7"/>
    </row>
    <row r="153" spans="21:22" ht="12.75">
      <c r="U153" s="7"/>
      <c r="V153" s="7"/>
    </row>
    <row r="154" spans="21:22" ht="12.75">
      <c r="U154" s="7"/>
      <c r="V154" s="7"/>
    </row>
    <row r="155" spans="21:22" ht="12.75">
      <c r="U155" s="7"/>
      <c r="V155" s="7"/>
    </row>
    <row r="156" spans="21:22" ht="12.75">
      <c r="U156" s="7"/>
      <c r="V156" s="7"/>
    </row>
    <row r="157" spans="21:22" ht="12.75">
      <c r="U157" s="7"/>
      <c r="V157" s="7"/>
    </row>
    <row r="158" spans="21:22" ht="12.75">
      <c r="U158" s="7"/>
      <c r="V158" s="7"/>
    </row>
    <row r="159" spans="21:22" ht="12.75">
      <c r="U159" s="7"/>
      <c r="V159" s="7"/>
    </row>
    <row r="160" spans="21:22" ht="12.75">
      <c r="U160" s="7"/>
      <c r="V160" s="7"/>
    </row>
    <row r="161" spans="21:22" ht="12.75">
      <c r="U161" s="7"/>
      <c r="V161" s="7"/>
    </row>
    <row r="162" spans="21:22" ht="12.75">
      <c r="U162" s="7"/>
      <c r="V162" s="7"/>
    </row>
    <row r="163" spans="21:22" ht="12.75">
      <c r="U163" s="7"/>
      <c r="V163" s="7"/>
    </row>
    <row r="164" spans="21:22" ht="12.75">
      <c r="U164" s="7"/>
      <c r="V164" s="7"/>
    </row>
    <row r="165" spans="21:22" ht="12.75">
      <c r="U165" s="7"/>
      <c r="V165" s="7"/>
    </row>
    <row r="166" spans="21:22" ht="12.75">
      <c r="U166" s="7"/>
      <c r="V166" s="7"/>
    </row>
    <row r="167" spans="21:22" ht="12.75">
      <c r="U167" s="7"/>
      <c r="V167" s="7"/>
    </row>
    <row r="168" spans="21:22" ht="12.75">
      <c r="U168" s="7"/>
      <c r="V168" s="7"/>
    </row>
    <row r="169" spans="21:22" ht="12.75">
      <c r="U169" s="7"/>
      <c r="V169" s="7"/>
    </row>
    <row r="170" spans="21:22" ht="12.75">
      <c r="U170" s="7"/>
      <c r="V170" s="7"/>
    </row>
    <row r="171" spans="21:22" ht="12.75">
      <c r="U171" s="7"/>
      <c r="V171" s="7"/>
    </row>
    <row r="172" spans="21:22" ht="12.75">
      <c r="U172" s="7"/>
      <c r="V172" s="7"/>
    </row>
    <row r="173" spans="21:22" ht="12.75">
      <c r="U173" s="7"/>
      <c r="V173" s="7"/>
    </row>
    <row r="174" spans="21:22" ht="12.75">
      <c r="U174" s="7"/>
      <c r="V174" s="7"/>
    </row>
    <row r="175" spans="21:22" ht="12.75">
      <c r="U175" s="7"/>
      <c r="V175" s="7"/>
    </row>
    <row r="176" spans="21:22" ht="12.75">
      <c r="U176" s="7"/>
      <c r="V176" s="7"/>
    </row>
    <row r="177" spans="21:22" ht="12.75">
      <c r="U177" s="7"/>
      <c r="V177" s="7"/>
    </row>
    <row r="178" spans="21:22" ht="12.75">
      <c r="U178" s="7"/>
      <c r="V178" s="7"/>
    </row>
    <row r="179" spans="21:22" ht="12.75">
      <c r="U179" s="7"/>
      <c r="V179" s="7"/>
    </row>
    <row r="180" spans="21:22" ht="12.75">
      <c r="U180" s="7"/>
      <c r="V180" s="7"/>
    </row>
    <row r="181" spans="21:22" ht="12.75">
      <c r="U181" s="7"/>
      <c r="V181" s="7"/>
    </row>
    <row r="182" spans="21:22" ht="12.75">
      <c r="U182" s="7"/>
      <c r="V182" s="7"/>
    </row>
    <row r="183" spans="21:22" ht="12.75">
      <c r="U183" s="7"/>
      <c r="V183" s="7"/>
    </row>
    <row r="184" spans="21:22" ht="12.75">
      <c r="U184" s="7"/>
      <c r="V184" s="7"/>
    </row>
    <row r="185" spans="21:22" ht="12.75">
      <c r="U185" s="7"/>
      <c r="V185" s="7"/>
    </row>
    <row r="186" spans="21:22" ht="12.75">
      <c r="U186" s="7"/>
      <c r="V186" s="7"/>
    </row>
    <row r="187" spans="21:22" ht="12.75">
      <c r="U187" s="7"/>
      <c r="V187" s="7"/>
    </row>
    <row r="188" spans="21:22" ht="12.75">
      <c r="U188" s="7"/>
      <c r="V188" s="7"/>
    </row>
    <row r="189" spans="21:22" ht="12.75">
      <c r="U189" s="7"/>
      <c r="V189" s="7"/>
    </row>
    <row r="190" spans="21:22" ht="12.75">
      <c r="U190" s="7"/>
      <c r="V190" s="7"/>
    </row>
    <row r="191" spans="21:22" ht="12.75">
      <c r="U191" s="7"/>
      <c r="V191" s="7"/>
    </row>
    <row r="192" spans="21:22" ht="12.75">
      <c r="U192" s="7"/>
      <c r="V192" s="7"/>
    </row>
    <row r="193" spans="21:22" ht="12.75">
      <c r="U193" s="7"/>
      <c r="V193" s="7"/>
    </row>
    <row r="194" spans="21:22" ht="12.75">
      <c r="U194" s="7"/>
      <c r="V194" s="7"/>
    </row>
    <row r="195" spans="21:22" ht="12.75">
      <c r="U195" s="7"/>
      <c r="V195" s="7"/>
    </row>
    <row r="196" spans="21:22" ht="12.75">
      <c r="U196" s="7"/>
      <c r="V196" s="7"/>
    </row>
    <row r="197" spans="21:22" ht="12.75">
      <c r="U197" s="7"/>
      <c r="V197" s="7"/>
    </row>
    <row r="198" spans="21:22" ht="12.75">
      <c r="U198" s="7"/>
      <c r="V198" s="7"/>
    </row>
    <row r="199" spans="21:22" ht="12.75">
      <c r="U199" s="7"/>
      <c r="V199" s="7"/>
    </row>
    <row r="200" spans="21:22" ht="12.75">
      <c r="U200" s="7"/>
      <c r="V200" s="7"/>
    </row>
    <row r="201" spans="21:22" ht="12.75">
      <c r="U201" s="7"/>
      <c r="V201" s="7"/>
    </row>
    <row r="202" spans="21:22" ht="12.75">
      <c r="U202" s="7"/>
      <c r="V202" s="7"/>
    </row>
    <row r="203" spans="21:22" ht="12.75">
      <c r="U203" s="7"/>
      <c r="V203" s="7"/>
    </row>
    <row r="204" spans="21:22" ht="12.75">
      <c r="U204" s="7"/>
      <c r="V204" s="7"/>
    </row>
    <row r="205" spans="21:22" ht="12.75">
      <c r="U205" s="7"/>
      <c r="V205" s="7"/>
    </row>
    <row r="206" spans="21:22" ht="12.75">
      <c r="U206" s="7"/>
      <c r="V206" s="7"/>
    </row>
    <row r="207" spans="21:22" ht="12.75">
      <c r="U207" s="7"/>
      <c r="V207" s="7"/>
    </row>
    <row r="208" spans="21:22" ht="12.75">
      <c r="U208" s="7"/>
      <c r="V208" s="7"/>
    </row>
    <row r="209" spans="21:22" ht="12.75">
      <c r="U209" s="7"/>
      <c r="V209" s="7"/>
    </row>
    <row r="210" spans="21:22" ht="12.75">
      <c r="U210" s="7"/>
      <c r="V210" s="7"/>
    </row>
    <row r="211" spans="21:22" ht="12.75">
      <c r="U211" s="7"/>
      <c r="V211" s="7"/>
    </row>
    <row r="212" spans="21:22" ht="12.75">
      <c r="U212" s="7"/>
      <c r="V212" s="7"/>
    </row>
    <row r="213" spans="21:22" ht="12.75">
      <c r="U213" s="7"/>
      <c r="V213" s="7"/>
    </row>
    <row r="214" spans="21:22" ht="12.75">
      <c r="U214" s="7"/>
      <c r="V214" s="7"/>
    </row>
    <row r="215" spans="21:22" ht="12.75">
      <c r="U215" s="7"/>
      <c r="V215" s="7"/>
    </row>
    <row r="216" spans="21:22" ht="12.75">
      <c r="U216" s="7"/>
      <c r="V216" s="7"/>
    </row>
    <row r="217" spans="21:22" ht="12.75">
      <c r="U217" s="7"/>
      <c r="V217" s="7"/>
    </row>
    <row r="218" spans="21:22" ht="12.75">
      <c r="U218" s="7"/>
      <c r="V218" s="7"/>
    </row>
    <row r="219" spans="21:22" ht="12.75">
      <c r="U219" s="7"/>
      <c r="V219" s="7"/>
    </row>
    <row r="220" spans="21:22" ht="12.75">
      <c r="U220" s="7"/>
      <c r="V220" s="7"/>
    </row>
    <row r="221" spans="21:22" ht="12.75">
      <c r="U221" s="7"/>
      <c r="V221" s="7"/>
    </row>
    <row r="222" spans="21:22" ht="12.75">
      <c r="U222" s="7"/>
      <c r="V222" s="7"/>
    </row>
    <row r="223" spans="21:22" ht="12.75">
      <c r="U223" s="7"/>
      <c r="V223" s="7"/>
    </row>
    <row r="224" spans="21:22" ht="12.75">
      <c r="U224" s="7"/>
      <c r="V224" s="7"/>
    </row>
    <row r="225" spans="21:22" ht="12.75">
      <c r="U225" s="7"/>
      <c r="V225" s="7"/>
    </row>
    <row r="226" spans="21:22" ht="12.75">
      <c r="U226" s="7"/>
      <c r="V226" s="7"/>
    </row>
    <row r="227" spans="21:22" ht="12.75">
      <c r="U227" s="7"/>
      <c r="V227" s="7"/>
    </row>
    <row r="228" spans="21:22" ht="12.75">
      <c r="U228" s="7"/>
      <c r="V228" s="7"/>
    </row>
    <row r="229" spans="21:22" ht="12.75">
      <c r="U229" s="7"/>
      <c r="V229" s="7"/>
    </row>
    <row r="230" spans="21:22" ht="12.75">
      <c r="U230" s="7"/>
      <c r="V230" s="7"/>
    </row>
    <row r="231" spans="21:22" ht="12.75">
      <c r="U231" s="7"/>
      <c r="V231" s="7"/>
    </row>
    <row r="232" spans="21:22" ht="12.75">
      <c r="U232" s="7"/>
      <c r="V232" s="7"/>
    </row>
    <row r="233" spans="21:22" ht="12.75">
      <c r="U233" s="7"/>
      <c r="V233" s="7"/>
    </row>
    <row r="234" spans="21:22" ht="12.75">
      <c r="U234" s="7"/>
      <c r="V234" s="7"/>
    </row>
    <row r="235" spans="21:22" ht="12.75">
      <c r="U235" s="7"/>
      <c r="V235" s="7"/>
    </row>
    <row r="236" spans="21:22" ht="12.75">
      <c r="U236" s="7"/>
      <c r="V236" s="7"/>
    </row>
    <row r="237" spans="21:22" ht="12.75">
      <c r="U237" s="7"/>
      <c r="V237" s="7"/>
    </row>
    <row r="238" spans="21:22" ht="12.75">
      <c r="U238" s="7"/>
      <c r="V238" s="7"/>
    </row>
    <row r="239" spans="21:22" ht="12.75">
      <c r="U239" s="7"/>
      <c r="V239" s="7"/>
    </row>
    <row r="240" spans="21:22" ht="12.75">
      <c r="U240" s="7"/>
      <c r="V240" s="7"/>
    </row>
    <row r="241" spans="21:22" ht="12.75">
      <c r="U241" s="7"/>
      <c r="V241" s="7"/>
    </row>
    <row r="242" spans="21:22" ht="12.75">
      <c r="U242" s="7"/>
      <c r="V242" s="7"/>
    </row>
    <row r="243" spans="21:22" ht="12.75">
      <c r="U243" s="7"/>
      <c r="V243" s="7"/>
    </row>
    <row r="244" spans="21:22" ht="12.75">
      <c r="U244" s="7"/>
      <c r="V244" s="7"/>
    </row>
    <row r="245" spans="21:22" ht="12.75">
      <c r="U245" s="7"/>
      <c r="V245" s="7"/>
    </row>
    <row r="246" spans="21:22" ht="12.75">
      <c r="U246" s="7"/>
      <c r="V246" s="7"/>
    </row>
    <row r="247" spans="21:22" ht="12.75">
      <c r="U247" s="7"/>
      <c r="V247" s="7"/>
    </row>
    <row r="248" spans="21:22" ht="12.75">
      <c r="U248" s="7"/>
      <c r="V248" s="7"/>
    </row>
    <row r="249" spans="21:22" ht="12.75">
      <c r="U249" s="7"/>
      <c r="V249" s="7"/>
    </row>
    <row r="250" spans="21:22" ht="12.75">
      <c r="U250" s="7"/>
      <c r="V250" s="7"/>
    </row>
    <row r="251" spans="21:22" ht="12.75">
      <c r="U251" s="7"/>
      <c r="V251" s="7"/>
    </row>
    <row r="252" spans="21:22" ht="12.75">
      <c r="U252" s="7"/>
      <c r="V252" s="7"/>
    </row>
    <row r="253" spans="21:22" ht="12.75">
      <c r="U253" s="7"/>
      <c r="V253" s="7"/>
    </row>
    <row r="254" spans="21:22" ht="12.75">
      <c r="U254" s="7"/>
      <c r="V254" s="7"/>
    </row>
    <row r="255" spans="21:22" ht="12.75">
      <c r="U255" s="7"/>
      <c r="V255" s="7"/>
    </row>
    <row r="256" spans="21:22" ht="12.75">
      <c r="U256" s="7"/>
      <c r="V256" s="7"/>
    </row>
    <row r="257" spans="21:22" ht="12.75">
      <c r="U257" s="7"/>
      <c r="V257" s="7"/>
    </row>
    <row r="258" spans="21:22" ht="12.75">
      <c r="U258" s="7"/>
      <c r="V258" s="7"/>
    </row>
    <row r="259" spans="21:22" ht="12.75">
      <c r="U259" s="7"/>
      <c r="V259" s="7"/>
    </row>
    <row r="260" spans="21:22" ht="12.75">
      <c r="U260" s="7"/>
      <c r="V260" s="7"/>
    </row>
    <row r="261" spans="21:22" ht="12.75">
      <c r="U261" s="7"/>
      <c r="V261" s="7"/>
    </row>
    <row r="262" spans="21:22" ht="12.75">
      <c r="U262" s="7"/>
      <c r="V262" s="7"/>
    </row>
    <row r="263" spans="21:22" ht="12.75">
      <c r="U263" s="7"/>
      <c r="V263" s="7"/>
    </row>
    <row r="264" spans="21:22" ht="12.75">
      <c r="U264" s="7"/>
      <c r="V264" s="7"/>
    </row>
    <row r="265" spans="21:22" ht="12.75">
      <c r="U265" s="7"/>
      <c r="V265" s="7"/>
    </row>
    <row r="266" spans="21:22" ht="12.75">
      <c r="U266" s="7"/>
      <c r="V266" s="7"/>
    </row>
    <row r="267" spans="21:22" ht="12.75">
      <c r="U267" s="7"/>
      <c r="V267" s="7"/>
    </row>
    <row r="268" spans="21:22" ht="12.75">
      <c r="U268" s="7"/>
      <c r="V268" s="7"/>
    </row>
    <row r="269" spans="21:22" ht="12.75">
      <c r="U269" s="7"/>
      <c r="V269" s="7"/>
    </row>
    <row r="270" spans="21:22" ht="12.75">
      <c r="U270" s="7"/>
      <c r="V270" s="7"/>
    </row>
    <row r="271" spans="21:22" ht="12.75">
      <c r="U271" s="7"/>
      <c r="V271" s="7"/>
    </row>
    <row r="272" spans="21:22" ht="12.75">
      <c r="U272" s="7"/>
      <c r="V272" s="7"/>
    </row>
    <row r="273" spans="21:22" ht="12.75">
      <c r="U273" s="7"/>
      <c r="V273" s="7"/>
    </row>
    <row r="274" spans="21:22" ht="12.75">
      <c r="U274" s="7"/>
      <c r="V274" s="7"/>
    </row>
    <row r="275" spans="21:22" ht="12.75">
      <c r="U275" s="7"/>
      <c r="V275" s="7"/>
    </row>
    <row r="276" spans="21:22" ht="12.75">
      <c r="U276" s="7"/>
      <c r="V276" s="7"/>
    </row>
    <row r="277" spans="21:22" ht="12.75">
      <c r="U277" s="7"/>
      <c r="V277" s="7"/>
    </row>
    <row r="278" spans="21:22" ht="12.75">
      <c r="U278" s="7"/>
      <c r="V278" s="7"/>
    </row>
    <row r="279" spans="21:22" ht="12.75">
      <c r="U279" s="7"/>
      <c r="V279" s="7"/>
    </row>
    <row r="280" spans="21:22" ht="12.75">
      <c r="U280" s="7"/>
      <c r="V280" s="7"/>
    </row>
    <row r="281" spans="21:22" ht="12.75">
      <c r="U281" s="7"/>
      <c r="V281" s="7"/>
    </row>
    <row r="282" spans="21:22" ht="12.75">
      <c r="U282" s="7"/>
      <c r="V282" s="7"/>
    </row>
    <row r="283" spans="21:22" ht="12.75">
      <c r="U283" s="7"/>
      <c r="V283" s="7"/>
    </row>
    <row r="284" spans="21:22" ht="12.75">
      <c r="U284" s="7"/>
      <c r="V284" s="7"/>
    </row>
    <row r="285" spans="21:22" ht="12.75">
      <c r="U285" s="7"/>
      <c r="V285" s="7"/>
    </row>
    <row r="286" spans="21:22" ht="12.75">
      <c r="U286" s="7"/>
      <c r="V286" s="7"/>
    </row>
    <row r="287" spans="21:22" ht="12.75">
      <c r="U287" s="7"/>
      <c r="V287" s="7"/>
    </row>
    <row r="288" spans="21:22" ht="12.75">
      <c r="U288" s="7"/>
      <c r="V288" s="7"/>
    </row>
    <row r="289" spans="21:22" ht="12.75">
      <c r="U289" s="7"/>
      <c r="V289" s="7"/>
    </row>
    <row r="290" spans="21:22" ht="12.75">
      <c r="U290" s="7"/>
      <c r="V290" s="7"/>
    </row>
    <row r="291" spans="21:22" ht="12.75">
      <c r="U291" s="7"/>
      <c r="V291" s="7"/>
    </row>
    <row r="292" spans="21:22" ht="12.75">
      <c r="U292" s="7"/>
      <c r="V292" s="7"/>
    </row>
    <row r="293" spans="21:22" ht="12.75">
      <c r="U293" s="7"/>
      <c r="V293" s="7"/>
    </row>
    <row r="294" spans="21:22" ht="12.75">
      <c r="U294" s="7"/>
      <c r="V294" s="7"/>
    </row>
    <row r="295" spans="21:22" ht="12.75">
      <c r="U295" s="7"/>
      <c r="V295" s="7"/>
    </row>
    <row r="296" spans="21:22" ht="12.75">
      <c r="U296" s="7"/>
      <c r="V296" s="7"/>
    </row>
    <row r="297" spans="21:22" ht="12.75">
      <c r="U297" s="7"/>
      <c r="V297" s="7"/>
    </row>
    <row r="298" spans="21:22" ht="12.75">
      <c r="U298" s="7"/>
      <c r="V298" s="7"/>
    </row>
    <row r="299" spans="21:22" ht="12.75">
      <c r="U299" s="7"/>
      <c r="V299" s="7"/>
    </row>
    <row r="300" spans="21:22" ht="12.75">
      <c r="U300" s="7"/>
      <c r="V300" s="7"/>
    </row>
    <row r="301" spans="21:22" ht="12.75">
      <c r="U301" s="7"/>
      <c r="V301" s="7"/>
    </row>
    <row r="302" spans="21:22" ht="12.75">
      <c r="U302" s="7"/>
      <c r="V302" s="7"/>
    </row>
    <row r="303" spans="21:22" ht="12.75">
      <c r="U303" s="7"/>
      <c r="V303" s="7"/>
    </row>
    <row r="304" spans="21:22" ht="12.75">
      <c r="U304" s="7"/>
      <c r="V304" s="7"/>
    </row>
    <row r="305" spans="21:22" ht="12.75">
      <c r="U305" s="7"/>
      <c r="V305" s="7"/>
    </row>
    <row r="306" spans="21:22" ht="12.75">
      <c r="U306" s="7"/>
      <c r="V306" s="7"/>
    </row>
    <row r="307" spans="21:22" ht="12.75">
      <c r="U307" s="7"/>
      <c r="V307" s="7"/>
    </row>
    <row r="308" spans="21:22" ht="12.75">
      <c r="U308" s="7"/>
      <c r="V308" s="7"/>
    </row>
    <row r="309" spans="21:22" ht="12.75">
      <c r="U309" s="7"/>
      <c r="V309" s="7"/>
    </row>
    <row r="310" spans="21:22" ht="12.75">
      <c r="U310" s="7"/>
      <c r="V310" s="7"/>
    </row>
    <row r="311" spans="21:22" ht="12.75">
      <c r="U311" s="7"/>
      <c r="V311" s="7"/>
    </row>
    <row r="312" spans="21:22" ht="12.75">
      <c r="U312" s="7"/>
      <c r="V312" s="7"/>
    </row>
    <row r="313" spans="21:22" ht="12.75">
      <c r="U313" s="7"/>
      <c r="V313" s="7"/>
    </row>
    <row r="314" spans="21:22" ht="12.75">
      <c r="U314" s="7"/>
      <c r="V314" s="7"/>
    </row>
    <row r="315" spans="21:22" ht="12.75">
      <c r="U315" s="7"/>
      <c r="V315" s="7"/>
    </row>
    <row r="316" spans="21:22" ht="12.75">
      <c r="U316" s="7"/>
      <c r="V316" s="7"/>
    </row>
    <row r="317" spans="21:22" ht="12.75">
      <c r="U317" s="7"/>
      <c r="V317" s="7"/>
    </row>
    <row r="318" spans="21:22" ht="12.75">
      <c r="U318" s="7"/>
      <c r="V318" s="7"/>
    </row>
    <row r="319" spans="21:22" ht="12.75">
      <c r="U319" s="7"/>
      <c r="V319" s="7"/>
    </row>
    <row r="320" spans="21:22" ht="12.75">
      <c r="U320" s="7"/>
      <c r="V320" s="7"/>
    </row>
    <row r="321" spans="21:22" ht="12.75">
      <c r="U321" s="7"/>
      <c r="V321" s="7"/>
    </row>
    <row r="322" spans="21:22" ht="12.75">
      <c r="U322" s="7"/>
      <c r="V322" s="7"/>
    </row>
    <row r="323" spans="21:22" ht="12.75">
      <c r="U323" s="7"/>
      <c r="V323" s="7"/>
    </row>
    <row r="324" spans="21:22" ht="12.75">
      <c r="U324" s="7"/>
      <c r="V324" s="7"/>
    </row>
    <row r="325" spans="21:22" ht="12.75">
      <c r="U325" s="7"/>
      <c r="V325" s="7"/>
    </row>
    <row r="326" spans="21:22" ht="12.75">
      <c r="U326" s="7"/>
      <c r="V326" s="7"/>
    </row>
    <row r="327" spans="21:22" ht="12.75">
      <c r="U327" s="7"/>
      <c r="V327" s="7"/>
    </row>
    <row r="328" spans="21:22" ht="12.75">
      <c r="U328" s="7"/>
      <c r="V328" s="7"/>
    </row>
    <row r="329" spans="21:22" ht="12.75">
      <c r="U329" s="7"/>
      <c r="V329" s="7"/>
    </row>
    <row r="330" spans="21:22" ht="12.75">
      <c r="U330" s="7"/>
      <c r="V330" s="7"/>
    </row>
    <row r="331" spans="21:22" ht="12.75">
      <c r="U331" s="7"/>
      <c r="V331" s="7"/>
    </row>
    <row r="332" spans="21:22" ht="12.75">
      <c r="U332" s="7"/>
      <c r="V332" s="7"/>
    </row>
    <row r="333" spans="21:22" ht="12.75">
      <c r="U333" s="7"/>
      <c r="V333" s="7"/>
    </row>
    <row r="334" spans="21:22" ht="12.75">
      <c r="U334" s="7"/>
      <c r="V334" s="7"/>
    </row>
    <row r="335" spans="21:22" ht="12.75">
      <c r="U335" s="7"/>
      <c r="V335" s="7"/>
    </row>
    <row r="336" spans="21:22" ht="12.75">
      <c r="U336" s="7"/>
      <c r="V336" s="7"/>
    </row>
    <row r="337" spans="21:22" ht="12.75">
      <c r="U337" s="7"/>
      <c r="V337" s="7"/>
    </row>
    <row r="338" spans="21:22" ht="12.75">
      <c r="U338" s="7"/>
      <c r="V338" s="7"/>
    </row>
    <row r="339" spans="21:22" ht="12.75">
      <c r="U339" s="7"/>
      <c r="V339" s="7"/>
    </row>
  </sheetData>
  <sheetProtection/>
  <mergeCells count="3">
    <mergeCell ref="B1:H1"/>
    <mergeCell ref="J1:P1"/>
    <mergeCell ref="R1:Y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1:H78"/>
  <sheetViews>
    <sheetView showGridLines="0" zoomScalePageLayoutView="0" workbookViewId="0" topLeftCell="A1">
      <pane ySplit="1155" topLeftCell="A41" activePane="bottomLeft" state="split"/>
      <selection pane="topLeft" activeCell="B61" sqref="B61"/>
      <selection pane="bottomLeft" activeCell="J53" sqref="J53"/>
    </sheetView>
  </sheetViews>
  <sheetFormatPr defaultColWidth="9.140625" defaultRowHeight="12.75"/>
  <cols>
    <col min="1" max="1" width="6.140625" style="1" customWidth="1"/>
    <col min="2" max="7" width="10.7109375" style="0" customWidth="1"/>
  </cols>
  <sheetData>
    <row r="1" spans="1:7" s="6" customFormat="1" ht="20.25" customHeight="1">
      <c r="A1" s="16"/>
      <c r="B1" s="389" t="s">
        <v>6</v>
      </c>
      <c r="C1" s="386"/>
      <c r="D1" s="383" t="s">
        <v>12</v>
      </c>
      <c r="E1" s="384"/>
      <c r="F1" s="383" t="s">
        <v>8</v>
      </c>
      <c r="G1" s="385"/>
    </row>
    <row r="2" spans="1:7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</row>
    <row r="3" spans="1:7" ht="17.25" customHeight="1" thickTop="1">
      <c r="A3" s="17">
        <v>1964</v>
      </c>
      <c r="B3" s="8"/>
      <c r="C3" s="9"/>
      <c r="D3" s="8"/>
      <c r="E3" s="9"/>
      <c r="F3" s="8"/>
      <c r="G3" s="9"/>
    </row>
    <row r="4" spans="1:7" ht="12.75">
      <c r="A4" s="17">
        <v>1965</v>
      </c>
      <c r="B4" s="8"/>
      <c r="C4" s="40"/>
      <c r="D4" s="8"/>
      <c r="E4" s="10"/>
      <c r="F4" s="8"/>
      <c r="G4" s="11"/>
    </row>
    <row r="5" spans="1:7" ht="12.75">
      <c r="A5" s="17">
        <v>1966</v>
      </c>
      <c r="B5" s="8"/>
      <c r="C5" s="40"/>
      <c r="D5" s="8"/>
      <c r="E5" s="10"/>
      <c r="F5" s="8"/>
      <c r="G5" s="11"/>
    </row>
    <row r="6" spans="1:7" ht="12.75">
      <c r="A6" s="17">
        <v>1967</v>
      </c>
      <c r="B6" s="8"/>
      <c r="C6" s="40"/>
      <c r="D6" s="8"/>
      <c r="E6" s="10"/>
      <c r="F6" s="8"/>
      <c r="G6" s="11"/>
    </row>
    <row r="7" spans="1:7" ht="12.75">
      <c r="A7" s="17">
        <v>1968</v>
      </c>
      <c r="B7" s="8"/>
      <c r="C7" s="40"/>
      <c r="D7" s="8"/>
      <c r="E7" s="10"/>
      <c r="F7" s="8"/>
      <c r="G7" s="11"/>
    </row>
    <row r="8" spans="1:7" ht="12.75">
      <c r="A8" s="17">
        <v>1969</v>
      </c>
      <c r="B8" s="8"/>
      <c r="C8" s="40"/>
      <c r="D8" s="8"/>
      <c r="E8" s="10"/>
      <c r="F8" s="8"/>
      <c r="G8" s="11"/>
    </row>
    <row r="9" spans="1:7" ht="12.75">
      <c r="A9" s="17">
        <v>1970</v>
      </c>
      <c r="B9" s="8"/>
      <c r="C9" s="40"/>
      <c r="D9" s="8"/>
      <c r="E9" s="10"/>
      <c r="F9" s="8"/>
      <c r="G9" s="11"/>
    </row>
    <row r="10" spans="1:7" ht="12.75">
      <c r="A10" s="17">
        <v>1971</v>
      </c>
      <c r="B10" s="8"/>
      <c r="C10" s="40"/>
      <c r="D10" s="8"/>
      <c r="E10" s="10"/>
      <c r="F10" s="8"/>
      <c r="G10" s="11"/>
    </row>
    <row r="11" spans="1:7" ht="12.75">
      <c r="A11" s="17">
        <v>1972</v>
      </c>
      <c r="B11" s="8"/>
      <c r="C11" s="40"/>
      <c r="D11" s="8"/>
      <c r="E11" s="10"/>
      <c r="F11" s="8"/>
      <c r="G11" s="11"/>
    </row>
    <row r="12" spans="1:7" ht="12.75">
      <c r="A12" s="17">
        <v>1973</v>
      </c>
      <c r="B12" s="8"/>
      <c r="C12" s="40"/>
      <c r="D12" s="8"/>
      <c r="E12" s="10"/>
      <c r="F12" s="8"/>
      <c r="G12" s="11"/>
    </row>
    <row r="13" spans="1:7" ht="12.75">
      <c r="A13" s="17">
        <v>1974</v>
      </c>
      <c r="B13" s="8"/>
      <c r="C13" s="40"/>
      <c r="D13" s="8"/>
      <c r="E13" s="10"/>
      <c r="F13" s="8"/>
      <c r="G13" s="11"/>
    </row>
    <row r="14" spans="1:7" ht="12.75">
      <c r="A14" s="17">
        <v>1975</v>
      </c>
      <c r="B14" s="8"/>
      <c r="C14" s="40"/>
      <c r="D14" s="8"/>
      <c r="E14" s="10"/>
      <c r="F14" s="8"/>
      <c r="G14" s="11"/>
    </row>
    <row r="15" spans="1:7" ht="12.75">
      <c r="A15" s="17">
        <v>1976</v>
      </c>
      <c r="B15" s="8"/>
      <c r="C15" s="40"/>
      <c r="D15" s="8"/>
      <c r="E15" s="10"/>
      <c r="F15" s="8"/>
      <c r="G15" s="11"/>
    </row>
    <row r="16" spans="1:7" ht="12.75">
      <c r="A16" s="17">
        <v>1977</v>
      </c>
      <c r="B16" s="8"/>
      <c r="C16" s="40"/>
      <c r="D16" s="8"/>
      <c r="E16" s="10"/>
      <c r="F16" s="8"/>
      <c r="G16" s="11"/>
    </row>
    <row r="17" spans="1:7" ht="12.75">
      <c r="A17" s="17">
        <v>1978</v>
      </c>
      <c r="B17" s="8"/>
      <c r="C17" s="40"/>
      <c r="D17" s="8"/>
      <c r="E17" s="10"/>
      <c r="F17" s="8"/>
      <c r="G17" s="11"/>
    </row>
    <row r="18" spans="1:7" ht="12.75">
      <c r="A18" s="17">
        <v>1979</v>
      </c>
      <c r="B18" s="8"/>
      <c r="C18" s="40"/>
      <c r="D18" s="8"/>
      <c r="E18" s="10"/>
      <c r="F18" s="8"/>
      <c r="G18" s="11"/>
    </row>
    <row r="19" spans="1:7" ht="12.75">
      <c r="A19" s="17">
        <v>1980</v>
      </c>
      <c r="B19" s="8"/>
      <c r="C19" s="40"/>
      <c r="D19" s="8"/>
      <c r="E19" s="10"/>
      <c r="F19" s="8"/>
      <c r="G19" s="11"/>
    </row>
    <row r="20" spans="1:7" ht="12.75">
      <c r="A20" s="17">
        <v>1981</v>
      </c>
      <c r="B20" s="8"/>
      <c r="C20" s="40"/>
      <c r="D20" s="8"/>
      <c r="E20" s="10"/>
      <c r="F20" s="8"/>
      <c r="G20" s="11"/>
    </row>
    <row r="21" spans="1:7" ht="12.75">
      <c r="A21" s="17">
        <v>1982</v>
      </c>
      <c r="B21" s="8"/>
      <c r="C21" s="40"/>
      <c r="D21" s="8"/>
      <c r="E21" s="10"/>
      <c r="F21" s="8"/>
      <c r="G21" s="11"/>
    </row>
    <row r="22" spans="1:7" ht="12.75">
      <c r="A22" s="17">
        <v>1983</v>
      </c>
      <c r="B22" s="8"/>
      <c r="C22" s="40"/>
      <c r="D22" s="8"/>
      <c r="E22" s="10"/>
      <c r="F22" s="8"/>
      <c r="G22" s="11"/>
    </row>
    <row r="23" spans="1:7" ht="12.75">
      <c r="A23" s="17">
        <v>1984</v>
      </c>
      <c r="B23" s="8"/>
      <c r="C23" s="40"/>
      <c r="D23" s="8"/>
      <c r="E23" s="10"/>
      <c r="F23" s="8"/>
      <c r="G23" s="11"/>
    </row>
    <row r="24" spans="1:7" ht="12.75">
      <c r="A24" s="17">
        <v>1985</v>
      </c>
      <c r="B24" s="8"/>
      <c r="C24" s="40"/>
      <c r="D24" s="8"/>
      <c r="E24" s="10"/>
      <c r="F24" s="8"/>
      <c r="G24" s="11"/>
    </row>
    <row r="25" spans="1:7" ht="12.75">
      <c r="A25" s="17">
        <v>1986</v>
      </c>
      <c r="B25" s="8"/>
      <c r="C25" s="40"/>
      <c r="D25" s="8"/>
      <c r="E25" s="10"/>
      <c r="F25" s="8"/>
      <c r="G25" s="11"/>
    </row>
    <row r="26" spans="1:7" ht="12.75">
      <c r="A26" s="17">
        <v>1987</v>
      </c>
      <c r="B26" s="8"/>
      <c r="C26" s="40"/>
      <c r="D26" s="8"/>
      <c r="E26" s="10"/>
      <c r="F26" s="8"/>
      <c r="G26" s="11"/>
    </row>
    <row r="27" spans="1:7" ht="12.75">
      <c r="A27" s="17">
        <v>1988</v>
      </c>
      <c r="B27" s="8"/>
      <c r="C27" s="40"/>
      <c r="D27" s="8"/>
      <c r="E27" s="10"/>
      <c r="F27" s="8"/>
      <c r="G27" s="11"/>
    </row>
    <row r="28" spans="1:7" ht="12.75">
      <c r="A28" s="17">
        <v>1989</v>
      </c>
      <c r="B28" s="8"/>
      <c r="C28" s="40"/>
      <c r="D28" s="8"/>
      <c r="E28" s="10"/>
      <c r="F28" s="8"/>
      <c r="G28" s="11"/>
    </row>
    <row r="29" spans="1:7" ht="12.75">
      <c r="A29" s="17">
        <v>1990</v>
      </c>
      <c r="B29" s="62">
        <v>1</v>
      </c>
      <c r="C29" s="63">
        <f>C28+B29</f>
        <v>1</v>
      </c>
      <c r="D29" s="62"/>
      <c r="E29" s="64"/>
      <c r="F29" s="62">
        <f>B29+D29</f>
        <v>1</v>
      </c>
      <c r="G29" s="65">
        <f>G28+F29</f>
        <v>1</v>
      </c>
    </row>
    <row r="30" spans="1:7" ht="12.75">
      <c r="A30" s="17">
        <v>1991</v>
      </c>
      <c r="B30" s="62">
        <v>1</v>
      </c>
      <c r="C30" s="63">
        <f aca="true" t="shared" si="0" ref="C30:C44">C29+B30</f>
        <v>2</v>
      </c>
      <c r="D30" s="62"/>
      <c r="E30" s="64"/>
      <c r="F30" s="62">
        <f aca="true" t="shared" si="1" ref="F30:F42">B30+D30</f>
        <v>1</v>
      </c>
      <c r="G30" s="65">
        <f aca="true" t="shared" si="2" ref="G30:G43">G29+F30</f>
        <v>2</v>
      </c>
    </row>
    <row r="31" spans="1:7" ht="12.75">
      <c r="A31" s="17">
        <v>1992</v>
      </c>
      <c r="B31" s="62">
        <v>6</v>
      </c>
      <c r="C31" s="63">
        <f t="shared" si="0"/>
        <v>8</v>
      </c>
      <c r="D31" s="62"/>
      <c r="E31" s="64"/>
      <c r="F31" s="62">
        <f t="shared" si="1"/>
        <v>6</v>
      </c>
      <c r="G31" s="65">
        <f t="shared" si="2"/>
        <v>8</v>
      </c>
    </row>
    <row r="32" spans="1:7" ht="12.75">
      <c r="A32" s="17">
        <v>1993</v>
      </c>
      <c r="B32" s="62">
        <v>9</v>
      </c>
      <c r="C32" s="63">
        <f t="shared" si="0"/>
        <v>17</v>
      </c>
      <c r="D32" s="62">
        <v>1</v>
      </c>
      <c r="E32" s="64">
        <f>E31+D32</f>
        <v>1</v>
      </c>
      <c r="F32" s="62">
        <f t="shared" si="1"/>
        <v>10</v>
      </c>
      <c r="G32" s="65">
        <f t="shared" si="2"/>
        <v>18</v>
      </c>
    </row>
    <row r="33" spans="1:7" ht="12.75">
      <c r="A33" s="17">
        <v>1994</v>
      </c>
      <c r="B33" s="62">
        <v>5</v>
      </c>
      <c r="C33" s="63">
        <f t="shared" si="0"/>
        <v>22</v>
      </c>
      <c r="D33" s="62"/>
      <c r="E33" s="64">
        <f aca="true" t="shared" si="3" ref="E33:E43">E32+D33</f>
        <v>1</v>
      </c>
      <c r="F33" s="62">
        <f t="shared" si="1"/>
        <v>5</v>
      </c>
      <c r="G33" s="65">
        <f t="shared" si="2"/>
        <v>23</v>
      </c>
    </row>
    <row r="34" spans="1:7" ht="12.75">
      <c r="A34" s="17">
        <v>1995</v>
      </c>
      <c r="B34" s="62">
        <v>3</v>
      </c>
      <c r="C34" s="63">
        <f t="shared" si="0"/>
        <v>25</v>
      </c>
      <c r="D34" s="62"/>
      <c r="E34" s="64">
        <f t="shared" si="3"/>
        <v>1</v>
      </c>
      <c r="F34" s="62">
        <f t="shared" si="1"/>
        <v>3</v>
      </c>
      <c r="G34" s="65">
        <f t="shared" si="2"/>
        <v>26</v>
      </c>
    </row>
    <row r="35" spans="1:7" ht="12.75">
      <c r="A35" s="17">
        <v>1996</v>
      </c>
      <c r="B35" s="62">
        <v>2</v>
      </c>
      <c r="C35" s="63">
        <f t="shared" si="0"/>
        <v>27</v>
      </c>
      <c r="D35" s="62"/>
      <c r="E35" s="64">
        <f t="shared" si="3"/>
        <v>1</v>
      </c>
      <c r="F35" s="62">
        <f t="shared" si="1"/>
        <v>2</v>
      </c>
      <c r="G35" s="65">
        <f t="shared" si="2"/>
        <v>28</v>
      </c>
    </row>
    <row r="36" spans="1:7" ht="12.75">
      <c r="A36" s="17">
        <v>1997</v>
      </c>
      <c r="B36" s="62">
        <v>2</v>
      </c>
      <c r="C36" s="63">
        <f t="shared" si="0"/>
        <v>29</v>
      </c>
      <c r="D36" s="62">
        <v>2</v>
      </c>
      <c r="E36" s="64">
        <f t="shared" si="3"/>
        <v>3</v>
      </c>
      <c r="F36" s="62">
        <f t="shared" si="1"/>
        <v>4</v>
      </c>
      <c r="G36" s="65">
        <f t="shared" si="2"/>
        <v>32</v>
      </c>
    </row>
    <row r="37" spans="1:7" ht="12.75">
      <c r="A37" s="17">
        <v>1998</v>
      </c>
      <c r="B37" s="62"/>
      <c r="C37" s="63">
        <f t="shared" si="0"/>
        <v>29</v>
      </c>
      <c r="D37" s="62"/>
      <c r="E37" s="64">
        <f t="shared" si="3"/>
        <v>3</v>
      </c>
      <c r="F37" s="62"/>
      <c r="G37" s="65">
        <f t="shared" si="2"/>
        <v>32</v>
      </c>
    </row>
    <row r="38" spans="1:7" ht="12.75">
      <c r="A38" s="18">
        <v>1999</v>
      </c>
      <c r="B38" s="66">
        <v>2</v>
      </c>
      <c r="C38" s="67">
        <f t="shared" si="0"/>
        <v>31</v>
      </c>
      <c r="D38" s="66">
        <v>1</v>
      </c>
      <c r="E38" s="68">
        <f t="shared" si="3"/>
        <v>4</v>
      </c>
      <c r="F38" s="66">
        <f t="shared" si="1"/>
        <v>3</v>
      </c>
      <c r="G38" s="69">
        <f t="shared" si="2"/>
        <v>35</v>
      </c>
    </row>
    <row r="39" spans="1:7" s="7" customFormat="1" ht="18.75" customHeight="1">
      <c r="A39" s="17">
        <v>2000</v>
      </c>
      <c r="B39" s="62">
        <v>1</v>
      </c>
      <c r="C39" s="63">
        <f t="shared" si="0"/>
        <v>32</v>
      </c>
      <c r="D39" s="62">
        <v>1</v>
      </c>
      <c r="E39" s="64">
        <f t="shared" si="3"/>
        <v>5</v>
      </c>
      <c r="F39" s="62">
        <f t="shared" si="1"/>
        <v>2</v>
      </c>
      <c r="G39" s="65">
        <f t="shared" si="2"/>
        <v>37</v>
      </c>
    </row>
    <row r="40" spans="1:7" ht="12.75">
      <c r="A40" s="17">
        <v>2001</v>
      </c>
      <c r="B40" s="62">
        <v>1</v>
      </c>
      <c r="C40" s="63">
        <f t="shared" si="0"/>
        <v>33</v>
      </c>
      <c r="D40" s="62"/>
      <c r="E40" s="64">
        <f t="shared" si="3"/>
        <v>5</v>
      </c>
      <c r="F40" s="62">
        <f t="shared" si="1"/>
        <v>1</v>
      </c>
      <c r="G40" s="65">
        <f t="shared" si="2"/>
        <v>38</v>
      </c>
    </row>
    <row r="41" spans="1:7" ht="12.75">
      <c r="A41" s="17">
        <v>2002</v>
      </c>
      <c r="B41" s="62">
        <v>1</v>
      </c>
      <c r="C41" s="63">
        <f t="shared" si="0"/>
        <v>34</v>
      </c>
      <c r="D41" s="62"/>
      <c r="E41" s="64">
        <f t="shared" si="3"/>
        <v>5</v>
      </c>
      <c r="F41" s="62">
        <f t="shared" si="1"/>
        <v>1</v>
      </c>
      <c r="G41" s="65">
        <f t="shared" si="2"/>
        <v>39</v>
      </c>
    </row>
    <row r="42" spans="1:7" ht="12.75">
      <c r="A42" s="17">
        <v>2003</v>
      </c>
      <c r="B42" s="62">
        <v>1</v>
      </c>
      <c r="C42" s="63">
        <f t="shared" si="0"/>
        <v>35</v>
      </c>
      <c r="D42" s="62">
        <v>1</v>
      </c>
      <c r="E42" s="64">
        <f t="shared" si="3"/>
        <v>6</v>
      </c>
      <c r="F42" s="62">
        <f t="shared" si="1"/>
        <v>2</v>
      </c>
      <c r="G42" s="65">
        <f t="shared" si="2"/>
        <v>41</v>
      </c>
    </row>
    <row r="43" spans="1:7" ht="12.75">
      <c r="A43" s="17">
        <v>2004</v>
      </c>
      <c r="B43" s="62">
        <f>0+0</f>
        <v>0</v>
      </c>
      <c r="C43" s="63">
        <f t="shared" si="0"/>
        <v>35</v>
      </c>
      <c r="D43" s="62">
        <f>0+0</f>
        <v>0</v>
      </c>
      <c r="E43" s="64">
        <f t="shared" si="3"/>
        <v>6</v>
      </c>
      <c r="F43" s="62">
        <f aca="true" t="shared" si="4" ref="F43:F48">B43+D43</f>
        <v>0</v>
      </c>
      <c r="G43" s="65">
        <f t="shared" si="2"/>
        <v>41</v>
      </c>
    </row>
    <row r="44" spans="1:7" s="78" customFormat="1" ht="12.75">
      <c r="A44" s="17">
        <v>2005</v>
      </c>
      <c r="B44" s="62">
        <f>0+0+0+0</f>
        <v>0</v>
      </c>
      <c r="C44" s="63">
        <f t="shared" si="0"/>
        <v>35</v>
      </c>
      <c r="D44" s="62">
        <f>0+0+0+0</f>
        <v>0</v>
      </c>
      <c r="E44" s="64">
        <f aca="true" t="shared" si="5" ref="E44:E49">E43+D44</f>
        <v>6</v>
      </c>
      <c r="F44" s="62">
        <f t="shared" si="4"/>
        <v>0</v>
      </c>
      <c r="G44" s="65">
        <f aca="true" t="shared" si="6" ref="G44:G49">G43+F44</f>
        <v>41</v>
      </c>
    </row>
    <row r="45" spans="1:7" s="78" customFormat="1" ht="12.75">
      <c r="A45" s="17">
        <v>2006</v>
      </c>
      <c r="B45" s="62">
        <f>0+0+0+0</f>
        <v>0</v>
      </c>
      <c r="C45" s="63">
        <f aca="true" t="shared" si="7" ref="C45:C50">C44+B45</f>
        <v>35</v>
      </c>
      <c r="D45" s="62">
        <f>0+0+0+0</f>
        <v>0</v>
      </c>
      <c r="E45" s="64">
        <f t="shared" si="5"/>
        <v>6</v>
      </c>
      <c r="F45" s="62">
        <f t="shared" si="4"/>
        <v>0</v>
      </c>
      <c r="G45" s="65">
        <f t="shared" si="6"/>
        <v>41</v>
      </c>
    </row>
    <row r="46" spans="1:7" s="78" customFormat="1" ht="12.75">
      <c r="A46" s="17">
        <v>2007</v>
      </c>
      <c r="B46" s="62">
        <f>0+0+0+0</f>
        <v>0</v>
      </c>
      <c r="C46" s="63">
        <f t="shared" si="7"/>
        <v>35</v>
      </c>
      <c r="D46" s="62">
        <f>0+0+0+0</f>
        <v>0</v>
      </c>
      <c r="E46" s="64">
        <f t="shared" si="5"/>
        <v>6</v>
      </c>
      <c r="F46" s="62">
        <f t="shared" si="4"/>
        <v>0</v>
      </c>
      <c r="G46" s="65">
        <f t="shared" si="6"/>
        <v>41</v>
      </c>
    </row>
    <row r="47" spans="1:7" s="78" customFormat="1" ht="12.75">
      <c r="A47" s="17">
        <v>2008</v>
      </c>
      <c r="B47" s="62">
        <v>1</v>
      </c>
      <c r="C47" s="63">
        <f t="shared" si="7"/>
        <v>36</v>
      </c>
      <c r="D47" s="62">
        <f>0+0+0+0</f>
        <v>0</v>
      </c>
      <c r="E47" s="64">
        <f t="shared" si="5"/>
        <v>6</v>
      </c>
      <c r="F47" s="62">
        <f t="shared" si="4"/>
        <v>1</v>
      </c>
      <c r="G47" s="65">
        <f t="shared" si="6"/>
        <v>42</v>
      </c>
    </row>
    <row r="48" spans="1:7" s="78" customFormat="1" ht="12.75">
      <c r="A48" s="17">
        <v>2009</v>
      </c>
      <c r="B48" s="151">
        <f>0+0+0+0</f>
        <v>0</v>
      </c>
      <c r="C48" s="63">
        <f t="shared" si="7"/>
        <v>36</v>
      </c>
      <c r="D48" s="62">
        <f>1+0+0+0</f>
        <v>1</v>
      </c>
      <c r="E48" s="64">
        <f t="shared" si="5"/>
        <v>7</v>
      </c>
      <c r="F48" s="62">
        <f t="shared" si="4"/>
        <v>1</v>
      </c>
      <c r="G48" s="65">
        <f t="shared" si="6"/>
        <v>43</v>
      </c>
    </row>
    <row r="49" spans="1:7" s="78" customFormat="1" ht="12.75">
      <c r="A49" s="17">
        <v>2010</v>
      </c>
      <c r="B49" s="151">
        <f>0+0+0+0</f>
        <v>0</v>
      </c>
      <c r="C49" s="63">
        <f t="shared" si="7"/>
        <v>36</v>
      </c>
      <c r="D49" s="62">
        <f>0+0+0</f>
        <v>0</v>
      </c>
      <c r="E49" s="64">
        <f t="shared" si="5"/>
        <v>7</v>
      </c>
      <c r="F49" s="62">
        <f aca="true" t="shared" si="8" ref="F49:F54">B49+D49</f>
        <v>0</v>
      </c>
      <c r="G49" s="65">
        <f t="shared" si="6"/>
        <v>43</v>
      </c>
    </row>
    <row r="50" spans="1:7" s="179" customFormat="1" ht="12.75">
      <c r="A50" s="171">
        <v>2011</v>
      </c>
      <c r="B50" s="177">
        <f>0+0+0+0</f>
        <v>0</v>
      </c>
      <c r="C50" s="141">
        <f t="shared" si="7"/>
        <v>36</v>
      </c>
      <c r="D50" s="175">
        <f>0+1+0+0</f>
        <v>1</v>
      </c>
      <c r="E50" s="140">
        <f aca="true" t="shared" si="9" ref="E50:E55">E49+D50</f>
        <v>8</v>
      </c>
      <c r="F50" s="175">
        <f t="shared" si="8"/>
        <v>1</v>
      </c>
      <c r="G50" s="147">
        <f aca="true" t="shared" si="10" ref="G50:G55">G49+F50</f>
        <v>44</v>
      </c>
    </row>
    <row r="51" spans="1:7" s="179" customFormat="1" ht="12.75">
      <c r="A51" s="171">
        <v>2012</v>
      </c>
      <c r="B51" s="177">
        <f>0+1+0+0</f>
        <v>1</v>
      </c>
      <c r="C51" s="141">
        <f aca="true" t="shared" si="11" ref="C51:C56">C50+B51</f>
        <v>37</v>
      </c>
      <c r="D51" s="175">
        <f>0+0+0+0</f>
        <v>0</v>
      </c>
      <c r="E51" s="140">
        <f t="shared" si="9"/>
        <v>8</v>
      </c>
      <c r="F51" s="175">
        <f t="shared" si="8"/>
        <v>1</v>
      </c>
      <c r="G51" s="147">
        <f t="shared" si="10"/>
        <v>45</v>
      </c>
    </row>
    <row r="52" spans="1:7" s="179" customFormat="1" ht="12.75">
      <c r="A52" s="171">
        <v>2013</v>
      </c>
      <c r="B52" s="177">
        <f aca="true" t="shared" si="12" ref="B52:B59">0+0+0+0</f>
        <v>0</v>
      </c>
      <c r="C52" s="141">
        <f t="shared" si="11"/>
        <v>37</v>
      </c>
      <c r="D52" s="175">
        <f>0+0+0+0</f>
        <v>0</v>
      </c>
      <c r="E52" s="140">
        <f t="shared" si="9"/>
        <v>8</v>
      </c>
      <c r="F52" s="175">
        <f t="shared" si="8"/>
        <v>0</v>
      </c>
      <c r="G52" s="147">
        <f t="shared" si="10"/>
        <v>45</v>
      </c>
    </row>
    <row r="53" spans="1:8" s="185" customFormat="1" ht="12.75">
      <c r="A53" s="171">
        <v>2014</v>
      </c>
      <c r="B53" s="177">
        <f t="shared" si="12"/>
        <v>0</v>
      </c>
      <c r="C53" s="165">
        <f t="shared" si="11"/>
        <v>37</v>
      </c>
      <c r="D53" s="175">
        <f>1+0+0+0</f>
        <v>1</v>
      </c>
      <c r="E53" s="140">
        <f t="shared" si="9"/>
        <v>9</v>
      </c>
      <c r="F53" s="175">
        <f t="shared" si="8"/>
        <v>1</v>
      </c>
      <c r="G53" s="147">
        <f t="shared" si="10"/>
        <v>46</v>
      </c>
      <c r="H53" s="179"/>
    </row>
    <row r="54" spans="1:7" s="179" customFormat="1" ht="12.75">
      <c r="A54" s="171">
        <v>2015</v>
      </c>
      <c r="B54" s="177">
        <f t="shared" si="12"/>
        <v>0</v>
      </c>
      <c r="C54" s="141">
        <f t="shared" si="11"/>
        <v>37</v>
      </c>
      <c r="D54" s="177">
        <f>0+1+0+0</f>
        <v>1</v>
      </c>
      <c r="E54" s="140">
        <f t="shared" si="9"/>
        <v>10</v>
      </c>
      <c r="F54" s="175">
        <f t="shared" si="8"/>
        <v>1</v>
      </c>
      <c r="G54" s="147">
        <f t="shared" si="10"/>
        <v>47</v>
      </c>
    </row>
    <row r="55" spans="1:7" s="255" customFormat="1" ht="12.75">
      <c r="A55" s="17">
        <v>2016</v>
      </c>
      <c r="B55" s="188">
        <f t="shared" si="12"/>
        <v>0</v>
      </c>
      <c r="C55" s="187">
        <f t="shared" si="11"/>
        <v>37</v>
      </c>
      <c r="D55" s="188">
        <f>0+0+0+0</f>
        <v>0</v>
      </c>
      <c r="E55" s="148">
        <f t="shared" si="9"/>
        <v>10</v>
      </c>
      <c r="F55" s="186">
        <f>B55+D55</f>
        <v>0</v>
      </c>
      <c r="G55" s="156">
        <f t="shared" si="10"/>
        <v>47</v>
      </c>
    </row>
    <row r="56" spans="1:7" s="185" customFormat="1" ht="12.75">
      <c r="A56" s="17">
        <v>2017</v>
      </c>
      <c r="B56" s="177">
        <f t="shared" si="12"/>
        <v>0</v>
      </c>
      <c r="C56" s="141">
        <f t="shared" si="11"/>
        <v>37</v>
      </c>
      <c r="D56" s="177">
        <f>0+0+0+0</f>
        <v>0</v>
      </c>
      <c r="E56" s="140">
        <f>E55+D56</f>
        <v>10</v>
      </c>
      <c r="F56" s="175">
        <f>B56+D56</f>
        <v>0</v>
      </c>
      <c r="G56" s="147">
        <f>G55+F56</f>
        <v>47</v>
      </c>
    </row>
    <row r="57" spans="1:7" s="185" customFormat="1" ht="12.75">
      <c r="A57" s="17">
        <v>2018</v>
      </c>
      <c r="B57" s="177">
        <f t="shared" si="12"/>
        <v>0</v>
      </c>
      <c r="C57" s="141">
        <f>C56+B57</f>
        <v>37</v>
      </c>
      <c r="D57" s="177">
        <f>0+0+0+0</f>
        <v>0</v>
      </c>
      <c r="E57" s="140">
        <f>E56+D57</f>
        <v>10</v>
      </c>
      <c r="F57" s="175">
        <f>B57+D57</f>
        <v>0</v>
      </c>
      <c r="G57" s="147">
        <f>G56+F57</f>
        <v>47</v>
      </c>
    </row>
    <row r="58" spans="1:7" s="179" customFormat="1" ht="12.75">
      <c r="A58" s="17">
        <v>2019</v>
      </c>
      <c r="B58" s="177">
        <f t="shared" si="12"/>
        <v>0</v>
      </c>
      <c r="C58" s="141">
        <f>C57+B58</f>
        <v>37</v>
      </c>
      <c r="D58" s="177">
        <f>0+0+0+1</f>
        <v>1</v>
      </c>
      <c r="E58" s="140">
        <f>E57+D58</f>
        <v>11</v>
      </c>
      <c r="F58" s="175">
        <f>B58+D58</f>
        <v>1</v>
      </c>
      <c r="G58" s="147">
        <f>G57+F58</f>
        <v>48</v>
      </c>
    </row>
    <row r="59" spans="1:7" s="185" customFormat="1" ht="12.75">
      <c r="A59" s="243">
        <v>2020</v>
      </c>
      <c r="B59" s="197">
        <f t="shared" si="12"/>
        <v>0</v>
      </c>
      <c r="C59" s="165">
        <f>C58+B59</f>
        <v>37</v>
      </c>
      <c r="D59" s="197">
        <f>0+0+0+0</f>
        <v>0</v>
      </c>
      <c r="E59" s="192">
        <f>E58+D59</f>
        <v>11</v>
      </c>
      <c r="F59" s="190">
        <f>B59+D59</f>
        <v>0</v>
      </c>
      <c r="G59" s="193">
        <f>G58+F59</f>
        <v>48</v>
      </c>
    </row>
    <row r="60" spans="1:7" ht="12.75">
      <c r="A60" s="17"/>
      <c r="B60" s="8"/>
      <c r="C60" s="11"/>
      <c r="D60" s="8"/>
      <c r="E60" s="30"/>
      <c r="F60" s="37"/>
      <c r="G60" s="30"/>
    </row>
    <row r="61" spans="1:7" ht="12.75">
      <c r="A61" s="17"/>
      <c r="B61" s="8"/>
      <c r="C61" s="11"/>
      <c r="D61" s="8"/>
      <c r="E61" s="30"/>
      <c r="F61" s="37"/>
      <c r="G61" s="30"/>
    </row>
    <row r="62" spans="1:7" ht="12.75">
      <c r="A62" s="17"/>
      <c r="B62" s="8"/>
      <c r="C62" s="11"/>
      <c r="D62" s="8"/>
      <c r="E62" s="30"/>
      <c r="F62" s="37"/>
      <c r="G62" s="30"/>
    </row>
    <row r="63" spans="1:7" ht="12.75">
      <c r="A63" s="17"/>
      <c r="B63" s="8"/>
      <c r="C63" s="29"/>
      <c r="D63" s="8"/>
      <c r="E63" s="30"/>
      <c r="F63" s="37"/>
      <c r="G63" s="30"/>
    </row>
    <row r="64" spans="1:7" ht="12.75">
      <c r="A64" s="17"/>
      <c r="B64" s="8"/>
      <c r="C64" s="29"/>
      <c r="D64" s="8"/>
      <c r="E64" s="30"/>
      <c r="F64" s="37"/>
      <c r="G64" s="30"/>
    </row>
    <row r="65" spans="1:7" ht="12.75">
      <c r="A65" s="17"/>
      <c r="B65" s="8"/>
      <c r="C65" s="29"/>
      <c r="D65" s="8"/>
      <c r="E65" s="30"/>
      <c r="F65" s="37"/>
      <c r="G65" s="30"/>
    </row>
    <row r="66" spans="1:7" ht="12.75">
      <c r="A66" s="17"/>
      <c r="B66" s="8"/>
      <c r="C66" s="29"/>
      <c r="D66" s="8"/>
      <c r="E66" s="30"/>
      <c r="F66" s="37"/>
      <c r="G66" s="30"/>
    </row>
    <row r="67" spans="1:7" ht="12.75">
      <c r="A67" s="17"/>
      <c r="B67" s="8"/>
      <c r="C67" s="29"/>
      <c r="D67" s="8"/>
      <c r="E67" s="30"/>
      <c r="F67" s="37"/>
      <c r="G67" s="30"/>
    </row>
    <row r="68" spans="1:7" ht="12.75">
      <c r="A68" s="17"/>
      <c r="B68" s="8"/>
      <c r="C68" s="29"/>
      <c r="D68" s="8"/>
      <c r="E68" s="30"/>
      <c r="F68" s="37"/>
      <c r="G68" s="30"/>
    </row>
    <row r="69" spans="1:7" ht="12.75">
      <c r="A69" s="17"/>
      <c r="B69" s="8"/>
      <c r="C69" s="29"/>
      <c r="D69" s="8"/>
      <c r="E69" s="30"/>
      <c r="F69" s="37"/>
      <c r="G69" s="30"/>
    </row>
    <row r="70" spans="1:7" ht="12.75">
      <c r="A70" s="17"/>
      <c r="B70" s="8"/>
      <c r="C70" s="29"/>
      <c r="D70" s="8"/>
      <c r="E70" s="30"/>
      <c r="F70" s="37"/>
      <c r="G70" s="30"/>
    </row>
    <row r="71" spans="1:7" ht="12.75">
      <c r="A71" s="17"/>
      <c r="B71" s="8"/>
      <c r="C71" s="29"/>
      <c r="D71" s="8"/>
      <c r="E71" s="30"/>
      <c r="F71" s="37"/>
      <c r="G71" s="30"/>
    </row>
    <row r="72" spans="1:7" ht="12.75">
      <c r="A72" s="17"/>
      <c r="B72" s="8"/>
      <c r="C72" s="29"/>
      <c r="D72" s="8"/>
      <c r="E72" s="30"/>
      <c r="F72" s="37"/>
      <c r="G72" s="30"/>
    </row>
    <row r="73" spans="1:7" ht="12.75">
      <c r="A73" s="18"/>
      <c r="B73" s="42"/>
      <c r="C73" s="32"/>
      <c r="D73" s="42"/>
      <c r="E73" s="33"/>
      <c r="F73" s="38"/>
      <c r="G73" s="33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  <row r="78" spans="2:3" ht="12.75">
      <c r="B78" s="12"/>
      <c r="C78" s="12"/>
    </row>
  </sheetData>
  <sheetProtection/>
  <mergeCells count="3">
    <mergeCell ref="B1:C1"/>
    <mergeCell ref="F1:G1"/>
    <mergeCell ref="D1:E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  <ignoredErrors>
    <ignoredError sqref="C32:F45 C46 F46 D46:E47 F47 D48 F49 F48 C50 G49:G50 F50 E49:E50 D4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A1:I77"/>
  <sheetViews>
    <sheetView showGridLines="0" zoomScalePageLayoutView="0" workbookViewId="0" topLeftCell="A1">
      <pane ySplit="1155" topLeftCell="A46" activePane="bottomLeft" state="split"/>
      <selection pane="topLeft" activeCell="B61" sqref="B61"/>
      <selection pane="bottomLeft" activeCell="L60" sqref="L60"/>
    </sheetView>
  </sheetViews>
  <sheetFormatPr defaultColWidth="9.140625" defaultRowHeight="12.75"/>
  <cols>
    <col min="1" max="1" width="6.00390625" style="1" customWidth="1"/>
    <col min="2" max="9" width="9.7109375" style="0" customWidth="1"/>
  </cols>
  <sheetData>
    <row r="1" spans="1:9" s="6" customFormat="1" ht="20.25" customHeight="1">
      <c r="A1" s="16"/>
      <c r="B1" s="389" t="s">
        <v>4</v>
      </c>
      <c r="C1" s="386"/>
      <c r="D1" s="383" t="s">
        <v>5</v>
      </c>
      <c r="E1" s="384"/>
      <c r="F1" s="383" t="s">
        <v>6</v>
      </c>
      <c r="G1" s="386"/>
      <c r="H1" s="383" t="s">
        <v>8</v>
      </c>
      <c r="I1" s="385"/>
    </row>
    <row r="2" spans="1:9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</row>
    <row r="3" spans="1:9" ht="17.25" customHeight="1" thickTop="1">
      <c r="A3" s="17">
        <v>1964</v>
      </c>
      <c r="B3" s="8"/>
      <c r="C3" s="9"/>
      <c r="D3" s="8"/>
      <c r="E3" s="9"/>
      <c r="F3" s="8"/>
      <c r="G3" s="9"/>
      <c r="H3" s="8"/>
      <c r="I3" s="9"/>
    </row>
    <row r="4" spans="1:9" ht="12.75">
      <c r="A4" s="17">
        <v>1965</v>
      </c>
      <c r="B4" s="8"/>
      <c r="C4" s="40"/>
      <c r="D4" s="8"/>
      <c r="E4" s="10"/>
      <c r="F4" s="8"/>
      <c r="G4" s="10"/>
      <c r="H4" s="8"/>
      <c r="I4" s="11"/>
    </row>
    <row r="5" spans="1:9" ht="12.75">
      <c r="A5" s="17">
        <v>1966</v>
      </c>
      <c r="B5" s="8"/>
      <c r="C5" s="40"/>
      <c r="D5" s="8"/>
      <c r="E5" s="10"/>
      <c r="F5" s="8"/>
      <c r="G5" s="10"/>
      <c r="H5" s="8"/>
      <c r="I5" s="11"/>
    </row>
    <row r="6" spans="1:9" ht="12.75">
      <c r="A6" s="17">
        <v>1967</v>
      </c>
      <c r="B6" s="8"/>
      <c r="C6" s="40"/>
      <c r="D6" s="8"/>
      <c r="E6" s="10"/>
      <c r="F6" s="8"/>
      <c r="G6" s="10"/>
      <c r="H6" s="8"/>
      <c r="I6" s="11"/>
    </row>
    <row r="7" spans="1:9" ht="12.75">
      <c r="A7" s="17">
        <v>1968</v>
      </c>
      <c r="B7" s="8"/>
      <c r="C7" s="40"/>
      <c r="D7" s="8"/>
      <c r="E7" s="10"/>
      <c r="F7" s="8"/>
      <c r="G7" s="10"/>
      <c r="H7" s="8"/>
      <c r="I7" s="11"/>
    </row>
    <row r="8" spans="1:9" ht="12.75">
      <c r="A8" s="17">
        <v>1969</v>
      </c>
      <c r="B8" s="8"/>
      <c r="C8" s="40"/>
      <c r="D8" s="8"/>
      <c r="E8" s="10"/>
      <c r="F8" s="8"/>
      <c r="G8" s="10"/>
      <c r="H8" s="8"/>
      <c r="I8" s="11"/>
    </row>
    <row r="9" spans="1:9" ht="12.75">
      <c r="A9" s="17">
        <v>1970</v>
      </c>
      <c r="B9" s="8"/>
      <c r="C9" s="40"/>
      <c r="D9" s="8"/>
      <c r="E9" s="10"/>
      <c r="F9" s="8"/>
      <c r="G9" s="10"/>
      <c r="H9" s="8"/>
      <c r="I9" s="11"/>
    </row>
    <row r="10" spans="1:9" ht="12.75">
      <c r="A10" s="17">
        <v>1971</v>
      </c>
      <c r="B10" s="8"/>
      <c r="C10" s="40"/>
      <c r="D10" s="8"/>
      <c r="E10" s="10"/>
      <c r="F10" s="8"/>
      <c r="G10" s="10"/>
      <c r="H10" s="8"/>
      <c r="I10" s="11"/>
    </row>
    <row r="11" spans="1:9" ht="12.75">
      <c r="A11" s="17">
        <v>1972</v>
      </c>
      <c r="B11" s="8"/>
      <c r="C11" s="40"/>
      <c r="D11" s="8"/>
      <c r="E11" s="10"/>
      <c r="F11" s="8"/>
      <c r="G11" s="10"/>
      <c r="H11" s="8"/>
      <c r="I11" s="11"/>
    </row>
    <row r="12" spans="1:9" ht="12.75">
      <c r="A12" s="17">
        <v>1973</v>
      </c>
      <c r="B12" s="8"/>
      <c r="C12" s="40"/>
      <c r="D12" s="8"/>
      <c r="E12" s="10"/>
      <c r="F12" s="8"/>
      <c r="G12" s="10"/>
      <c r="H12" s="8"/>
      <c r="I12" s="11"/>
    </row>
    <row r="13" spans="1:9" ht="12.75">
      <c r="A13" s="17">
        <v>1974</v>
      </c>
      <c r="B13" s="8"/>
      <c r="C13" s="40"/>
      <c r="D13" s="8"/>
      <c r="E13" s="10"/>
      <c r="F13" s="8"/>
      <c r="G13" s="10"/>
      <c r="H13" s="8"/>
      <c r="I13" s="11"/>
    </row>
    <row r="14" spans="1:9" ht="12.75">
      <c r="A14" s="17">
        <v>1975</v>
      </c>
      <c r="B14" s="8"/>
      <c r="C14" s="40"/>
      <c r="D14" s="8"/>
      <c r="E14" s="10"/>
      <c r="F14" s="8"/>
      <c r="G14" s="10"/>
      <c r="H14" s="8"/>
      <c r="I14" s="11"/>
    </row>
    <row r="15" spans="1:9" ht="12.75">
      <c r="A15" s="17">
        <v>1976</v>
      </c>
      <c r="B15" s="8"/>
      <c r="C15" s="40"/>
      <c r="D15" s="8"/>
      <c r="E15" s="10"/>
      <c r="F15" s="8"/>
      <c r="G15" s="10"/>
      <c r="H15" s="8"/>
      <c r="I15" s="11"/>
    </row>
    <row r="16" spans="1:9" ht="12.75">
      <c r="A16" s="17">
        <v>1977</v>
      </c>
      <c r="B16" s="8"/>
      <c r="C16" s="40"/>
      <c r="D16" s="8"/>
      <c r="E16" s="10"/>
      <c r="F16" s="8"/>
      <c r="G16" s="10"/>
      <c r="H16" s="8"/>
      <c r="I16" s="11"/>
    </row>
    <row r="17" spans="1:9" ht="12.75">
      <c r="A17" s="17">
        <v>1978</v>
      </c>
      <c r="B17" s="8"/>
      <c r="C17" s="40"/>
      <c r="D17" s="8"/>
      <c r="E17" s="10"/>
      <c r="F17" s="8"/>
      <c r="G17" s="10"/>
      <c r="H17" s="8"/>
      <c r="I17" s="11"/>
    </row>
    <row r="18" spans="1:9" ht="12.75">
      <c r="A18" s="17">
        <v>1979</v>
      </c>
      <c r="B18" s="8"/>
      <c r="C18" s="40"/>
      <c r="D18" s="8"/>
      <c r="E18" s="10"/>
      <c r="F18" s="8"/>
      <c r="G18" s="10"/>
      <c r="H18" s="8"/>
      <c r="I18" s="11"/>
    </row>
    <row r="19" spans="1:9" ht="12.75">
      <c r="A19" s="17">
        <v>1980</v>
      </c>
      <c r="B19" s="8"/>
      <c r="C19" s="40"/>
      <c r="D19" s="8"/>
      <c r="E19" s="10"/>
      <c r="F19" s="8"/>
      <c r="G19" s="10"/>
      <c r="H19" s="8"/>
      <c r="I19" s="11"/>
    </row>
    <row r="20" spans="1:9" ht="12.75">
      <c r="A20" s="17">
        <v>1981</v>
      </c>
      <c r="B20" s="8"/>
      <c r="C20" s="40"/>
      <c r="D20" s="8"/>
      <c r="E20" s="10"/>
      <c r="F20" s="8"/>
      <c r="G20" s="10"/>
      <c r="H20" s="8"/>
      <c r="I20" s="11"/>
    </row>
    <row r="21" spans="1:9" ht="12.75">
      <c r="A21" s="17">
        <v>1982</v>
      </c>
      <c r="B21" s="8"/>
      <c r="C21" s="40"/>
      <c r="D21" s="8"/>
      <c r="E21" s="10"/>
      <c r="F21" s="8"/>
      <c r="G21" s="10"/>
      <c r="H21" s="8"/>
      <c r="I21" s="11"/>
    </row>
    <row r="22" spans="1:9" ht="12.75">
      <c r="A22" s="17">
        <v>1983</v>
      </c>
      <c r="B22" s="8"/>
      <c r="C22" s="40"/>
      <c r="D22" s="8"/>
      <c r="E22" s="10"/>
      <c r="F22" s="8"/>
      <c r="G22" s="10"/>
      <c r="H22" s="8"/>
      <c r="I22" s="11"/>
    </row>
    <row r="23" spans="1:9" ht="12.75">
      <c r="A23" s="17">
        <v>1984</v>
      </c>
      <c r="B23" s="62"/>
      <c r="C23" s="63"/>
      <c r="D23" s="62"/>
      <c r="E23" s="64"/>
      <c r="F23" s="62"/>
      <c r="G23" s="64"/>
      <c r="H23" s="62"/>
      <c r="I23" s="65"/>
    </row>
    <row r="24" spans="1:9" ht="12.75">
      <c r="A24" s="17">
        <v>1985</v>
      </c>
      <c r="B24" s="62"/>
      <c r="C24" s="63"/>
      <c r="D24" s="62"/>
      <c r="E24" s="64"/>
      <c r="F24" s="62"/>
      <c r="G24" s="64"/>
      <c r="H24" s="62"/>
      <c r="I24" s="65"/>
    </row>
    <row r="25" spans="1:9" ht="12.75">
      <c r="A25" s="17">
        <v>1986</v>
      </c>
      <c r="B25" s="62"/>
      <c r="C25" s="63"/>
      <c r="D25" s="62"/>
      <c r="E25" s="64"/>
      <c r="F25" s="62"/>
      <c r="G25" s="64"/>
      <c r="H25" s="62"/>
      <c r="I25" s="65"/>
    </row>
    <row r="26" spans="1:9" ht="12.75">
      <c r="A26" s="17">
        <v>1987</v>
      </c>
      <c r="B26" s="62"/>
      <c r="C26" s="63"/>
      <c r="D26" s="62"/>
      <c r="E26" s="64"/>
      <c r="F26" s="62"/>
      <c r="G26" s="64"/>
      <c r="H26" s="62"/>
      <c r="I26" s="65"/>
    </row>
    <row r="27" spans="1:9" ht="12.75">
      <c r="A27" s="17">
        <v>1988</v>
      </c>
      <c r="B27" s="62"/>
      <c r="C27" s="63"/>
      <c r="D27" s="62"/>
      <c r="E27" s="64"/>
      <c r="F27" s="62"/>
      <c r="G27" s="64"/>
      <c r="H27" s="62"/>
      <c r="I27" s="65"/>
    </row>
    <row r="28" spans="1:9" ht="12.75">
      <c r="A28" s="17">
        <v>1989</v>
      </c>
      <c r="B28" s="62"/>
      <c r="C28" s="63"/>
      <c r="D28" s="62"/>
      <c r="E28" s="64"/>
      <c r="F28" s="62"/>
      <c r="G28" s="64"/>
      <c r="H28" s="62"/>
      <c r="I28" s="65"/>
    </row>
    <row r="29" spans="1:9" ht="12.75">
      <c r="A29" s="17">
        <v>1990</v>
      </c>
      <c r="B29" s="62"/>
      <c r="C29" s="63"/>
      <c r="D29" s="62">
        <v>1</v>
      </c>
      <c r="E29" s="64">
        <f>E28+D29</f>
        <v>1</v>
      </c>
      <c r="F29" s="62">
        <v>2</v>
      </c>
      <c r="G29" s="64">
        <f>G28+F29</f>
        <v>2</v>
      </c>
      <c r="H29" s="62">
        <f>B29+D29+F29</f>
        <v>3</v>
      </c>
      <c r="I29" s="65">
        <f>I28+H29</f>
        <v>3</v>
      </c>
    </row>
    <row r="30" spans="1:9" ht="12.75">
      <c r="A30" s="17">
        <v>1991</v>
      </c>
      <c r="B30" s="62"/>
      <c r="C30" s="63"/>
      <c r="D30" s="62"/>
      <c r="E30" s="64">
        <f aca="true" t="shared" si="0" ref="E30:E44">E29+D30</f>
        <v>1</v>
      </c>
      <c r="F30" s="62"/>
      <c r="G30" s="64">
        <f aca="true" t="shared" si="1" ref="G30:G44">G29+F30</f>
        <v>2</v>
      </c>
      <c r="H30" s="62"/>
      <c r="I30" s="65">
        <f aca="true" t="shared" si="2" ref="I30:I43">I29+H30</f>
        <v>3</v>
      </c>
    </row>
    <row r="31" spans="1:9" ht="12.75">
      <c r="A31" s="17">
        <v>1992</v>
      </c>
      <c r="B31" s="62"/>
      <c r="C31" s="63"/>
      <c r="D31" s="62"/>
      <c r="E31" s="64">
        <f t="shared" si="0"/>
        <v>1</v>
      </c>
      <c r="F31" s="62"/>
      <c r="G31" s="64">
        <f t="shared" si="1"/>
        <v>2</v>
      </c>
      <c r="H31" s="62"/>
      <c r="I31" s="65">
        <f t="shared" si="2"/>
        <v>3</v>
      </c>
    </row>
    <row r="32" spans="1:9" ht="12.75">
      <c r="A32" s="17">
        <v>1993</v>
      </c>
      <c r="B32" s="62"/>
      <c r="C32" s="63"/>
      <c r="D32" s="62"/>
      <c r="E32" s="64">
        <f t="shared" si="0"/>
        <v>1</v>
      </c>
      <c r="F32" s="62"/>
      <c r="G32" s="64">
        <f t="shared" si="1"/>
        <v>2</v>
      </c>
      <c r="H32" s="62"/>
      <c r="I32" s="65">
        <f t="shared" si="2"/>
        <v>3</v>
      </c>
    </row>
    <row r="33" spans="1:9" ht="12.75">
      <c r="A33" s="17">
        <v>1994</v>
      </c>
      <c r="B33" s="62"/>
      <c r="C33" s="63"/>
      <c r="D33" s="62"/>
      <c r="E33" s="64">
        <f t="shared" si="0"/>
        <v>1</v>
      </c>
      <c r="F33" s="62"/>
      <c r="G33" s="64">
        <f t="shared" si="1"/>
        <v>2</v>
      </c>
      <c r="H33" s="62"/>
      <c r="I33" s="65">
        <f t="shared" si="2"/>
        <v>3</v>
      </c>
    </row>
    <row r="34" spans="1:9" ht="12.75">
      <c r="A34" s="17">
        <v>1995</v>
      </c>
      <c r="B34" s="62"/>
      <c r="C34" s="63"/>
      <c r="D34" s="62"/>
      <c r="E34" s="64">
        <f t="shared" si="0"/>
        <v>1</v>
      </c>
      <c r="F34" s="62"/>
      <c r="G34" s="64">
        <f t="shared" si="1"/>
        <v>2</v>
      </c>
      <c r="H34" s="62"/>
      <c r="I34" s="65">
        <f t="shared" si="2"/>
        <v>3</v>
      </c>
    </row>
    <row r="35" spans="1:9" ht="12.75">
      <c r="A35" s="17">
        <v>1996</v>
      </c>
      <c r="B35" s="62"/>
      <c r="C35" s="63"/>
      <c r="D35" s="62"/>
      <c r="E35" s="64">
        <f t="shared" si="0"/>
        <v>1</v>
      </c>
      <c r="F35" s="62"/>
      <c r="G35" s="64">
        <f t="shared" si="1"/>
        <v>2</v>
      </c>
      <c r="H35" s="62"/>
      <c r="I35" s="65">
        <f t="shared" si="2"/>
        <v>3</v>
      </c>
    </row>
    <row r="36" spans="1:9" ht="12.75">
      <c r="A36" s="17">
        <v>1997</v>
      </c>
      <c r="B36" s="62">
        <v>1</v>
      </c>
      <c r="C36" s="63">
        <f>C35+B36</f>
        <v>1</v>
      </c>
      <c r="D36" s="62"/>
      <c r="E36" s="64">
        <f t="shared" si="0"/>
        <v>1</v>
      </c>
      <c r="F36" s="62"/>
      <c r="G36" s="64">
        <f t="shared" si="1"/>
        <v>2</v>
      </c>
      <c r="H36" s="62">
        <f aca="true" t="shared" si="3" ref="H36:H43">B36+D36+F36</f>
        <v>1</v>
      </c>
      <c r="I36" s="65">
        <f t="shared" si="2"/>
        <v>4</v>
      </c>
    </row>
    <row r="37" spans="1:9" ht="12.75">
      <c r="A37" s="17">
        <v>1998</v>
      </c>
      <c r="B37" s="62"/>
      <c r="C37" s="63">
        <f aca="true" t="shared" si="4" ref="C37:C44">C36+B37</f>
        <v>1</v>
      </c>
      <c r="D37" s="62"/>
      <c r="E37" s="64">
        <f t="shared" si="0"/>
        <v>1</v>
      </c>
      <c r="F37" s="62">
        <v>1</v>
      </c>
      <c r="G37" s="64">
        <f t="shared" si="1"/>
        <v>3</v>
      </c>
      <c r="H37" s="62">
        <f t="shared" si="3"/>
        <v>1</v>
      </c>
      <c r="I37" s="65">
        <f t="shared" si="2"/>
        <v>5</v>
      </c>
    </row>
    <row r="38" spans="1:9" ht="12.75">
      <c r="A38" s="18">
        <v>1999</v>
      </c>
      <c r="B38" s="66"/>
      <c r="C38" s="67">
        <f t="shared" si="4"/>
        <v>1</v>
      </c>
      <c r="D38" s="66"/>
      <c r="E38" s="68">
        <f t="shared" si="0"/>
        <v>1</v>
      </c>
      <c r="F38" s="66"/>
      <c r="G38" s="68">
        <f t="shared" si="1"/>
        <v>3</v>
      </c>
      <c r="H38" s="66"/>
      <c r="I38" s="69">
        <f t="shared" si="2"/>
        <v>5</v>
      </c>
    </row>
    <row r="39" spans="1:9" s="7" customFormat="1" ht="17.25" customHeight="1">
      <c r="A39" s="17">
        <v>2000</v>
      </c>
      <c r="B39" s="62"/>
      <c r="C39" s="63">
        <f t="shared" si="4"/>
        <v>1</v>
      </c>
      <c r="D39" s="62"/>
      <c r="E39" s="64">
        <f t="shared" si="0"/>
        <v>1</v>
      </c>
      <c r="F39" s="62">
        <v>2</v>
      </c>
      <c r="G39" s="64">
        <f t="shared" si="1"/>
        <v>5</v>
      </c>
      <c r="H39" s="62">
        <f t="shared" si="3"/>
        <v>2</v>
      </c>
      <c r="I39" s="65">
        <f t="shared" si="2"/>
        <v>7</v>
      </c>
    </row>
    <row r="40" spans="1:9" ht="12.75">
      <c r="A40" s="17">
        <v>2001</v>
      </c>
      <c r="B40" s="62"/>
      <c r="C40" s="63">
        <f t="shared" si="4"/>
        <v>1</v>
      </c>
      <c r="D40" s="62"/>
      <c r="E40" s="64">
        <f t="shared" si="0"/>
        <v>1</v>
      </c>
      <c r="F40" s="62">
        <v>1</v>
      </c>
      <c r="G40" s="64">
        <f t="shared" si="1"/>
        <v>6</v>
      </c>
      <c r="H40" s="62">
        <f t="shared" si="3"/>
        <v>1</v>
      </c>
      <c r="I40" s="65">
        <f t="shared" si="2"/>
        <v>8</v>
      </c>
    </row>
    <row r="41" spans="1:9" ht="12.75">
      <c r="A41" s="17">
        <v>2002</v>
      </c>
      <c r="B41" s="62"/>
      <c r="C41" s="63">
        <f t="shared" si="4"/>
        <v>1</v>
      </c>
      <c r="D41" s="62"/>
      <c r="E41" s="64">
        <f t="shared" si="0"/>
        <v>1</v>
      </c>
      <c r="F41" s="62">
        <v>3</v>
      </c>
      <c r="G41" s="64">
        <f t="shared" si="1"/>
        <v>9</v>
      </c>
      <c r="H41" s="62">
        <f t="shared" si="3"/>
        <v>3</v>
      </c>
      <c r="I41" s="65">
        <f t="shared" si="2"/>
        <v>11</v>
      </c>
    </row>
    <row r="42" spans="1:9" ht="12.75">
      <c r="A42" s="17">
        <v>2003</v>
      </c>
      <c r="B42" s="62"/>
      <c r="C42" s="63">
        <f t="shared" si="4"/>
        <v>1</v>
      </c>
      <c r="D42" s="62"/>
      <c r="E42" s="64">
        <f t="shared" si="0"/>
        <v>1</v>
      </c>
      <c r="F42" s="62">
        <v>1</v>
      </c>
      <c r="G42" s="64">
        <f t="shared" si="1"/>
        <v>10</v>
      </c>
      <c r="H42" s="62">
        <f t="shared" si="3"/>
        <v>1</v>
      </c>
      <c r="I42" s="65">
        <f t="shared" si="2"/>
        <v>12</v>
      </c>
    </row>
    <row r="43" spans="1:9" ht="12.75">
      <c r="A43" s="17">
        <v>2004</v>
      </c>
      <c r="B43" s="62"/>
      <c r="C43" s="63">
        <f t="shared" si="4"/>
        <v>1</v>
      </c>
      <c r="D43" s="62"/>
      <c r="E43" s="64">
        <f t="shared" si="0"/>
        <v>1</v>
      </c>
      <c r="F43" s="62">
        <f>2+0</f>
        <v>2</v>
      </c>
      <c r="G43" s="64">
        <f t="shared" si="1"/>
        <v>12</v>
      </c>
      <c r="H43" s="62">
        <f t="shared" si="3"/>
        <v>2</v>
      </c>
      <c r="I43" s="65">
        <f t="shared" si="2"/>
        <v>14</v>
      </c>
    </row>
    <row r="44" spans="1:9" s="78" customFormat="1" ht="12.75">
      <c r="A44" s="17">
        <v>2005</v>
      </c>
      <c r="B44" s="62">
        <f>0+0+0</f>
        <v>0</v>
      </c>
      <c r="C44" s="63">
        <f t="shared" si="4"/>
        <v>1</v>
      </c>
      <c r="D44" s="62">
        <f>0+0+0</f>
        <v>0</v>
      </c>
      <c r="E44" s="64">
        <f t="shared" si="0"/>
        <v>1</v>
      </c>
      <c r="F44" s="74">
        <f>0+0+1+0</f>
        <v>1</v>
      </c>
      <c r="G44" s="64">
        <f t="shared" si="1"/>
        <v>13</v>
      </c>
      <c r="H44" s="62">
        <f aca="true" t="shared" si="5" ref="H44:H49">B44+D44+F44</f>
        <v>1</v>
      </c>
      <c r="I44" s="65">
        <f aca="true" t="shared" si="6" ref="I44:I49">I43+H44</f>
        <v>15</v>
      </c>
    </row>
    <row r="45" spans="1:9" s="78" customFormat="1" ht="12.75">
      <c r="A45" s="17">
        <v>2006</v>
      </c>
      <c r="B45" s="62">
        <f aca="true" t="shared" si="7" ref="B45:B57">0+0+0+0</f>
        <v>0</v>
      </c>
      <c r="C45" s="63">
        <f aca="true" t="shared" si="8" ref="C45:C50">C44+B45</f>
        <v>1</v>
      </c>
      <c r="D45" s="62">
        <f aca="true" t="shared" si="9" ref="D45:D59">0+0+0+0</f>
        <v>0</v>
      </c>
      <c r="E45" s="64">
        <f aca="true" t="shared" si="10" ref="E45:E50">E44+D45</f>
        <v>1</v>
      </c>
      <c r="F45" s="74">
        <f>0+0+0+0</f>
        <v>0</v>
      </c>
      <c r="G45" s="64">
        <f aca="true" t="shared" si="11" ref="G45:G50">G44+F45</f>
        <v>13</v>
      </c>
      <c r="H45" s="62">
        <f t="shared" si="5"/>
        <v>0</v>
      </c>
      <c r="I45" s="65">
        <f t="shared" si="6"/>
        <v>15</v>
      </c>
    </row>
    <row r="46" spans="1:9" s="78" customFormat="1" ht="12.75">
      <c r="A46" s="17">
        <v>2007</v>
      </c>
      <c r="B46" s="62">
        <f t="shared" si="7"/>
        <v>0</v>
      </c>
      <c r="C46" s="63">
        <f t="shared" si="8"/>
        <v>1</v>
      </c>
      <c r="D46" s="62">
        <f t="shared" si="9"/>
        <v>0</v>
      </c>
      <c r="E46" s="64">
        <f t="shared" si="10"/>
        <v>1</v>
      </c>
      <c r="F46" s="74">
        <f>2+0+0+0</f>
        <v>2</v>
      </c>
      <c r="G46" s="64">
        <f t="shared" si="11"/>
        <v>15</v>
      </c>
      <c r="H46" s="62">
        <f t="shared" si="5"/>
        <v>2</v>
      </c>
      <c r="I46" s="65">
        <f t="shared" si="6"/>
        <v>17</v>
      </c>
    </row>
    <row r="47" spans="1:9" s="78" customFormat="1" ht="12.75">
      <c r="A47" s="17">
        <v>2008</v>
      </c>
      <c r="B47" s="62">
        <f t="shared" si="7"/>
        <v>0</v>
      </c>
      <c r="C47" s="63">
        <f t="shared" si="8"/>
        <v>1</v>
      </c>
      <c r="D47" s="62">
        <f t="shared" si="9"/>
        <v>0</v>
      </c>
      <c r="E47" s="64">
        <f t="shared" si="10"/>
        <v>1</v>
      </c>
      <c r="F47" s="74">
        <f>2+2+0+1</f>
        <v>5</v>
      </c>
      <c r="G47" s="64">
        <f t="shared" si="11"/>
        <v>20</v>
      </c>
      <c r="H47" s="62">
        <f t="shared" si="5"/>
        <v>5</v>
      </c>
      <c r="I47" s="65">
        <f t="shared" si="6"/>
        <v>22</v>
      </c>
    </row>
    <row r="48" spans="1:9" s="78" customFormat="1" ht="12.75">
      <c r="A48" s="17">
        <v>2009</v>
      </c>
      <c r="B48" s="62">
        <f t="shared" si="7"/>
        <v>0</v>
      </c>
      <c r="C48" s="63">
        <f t="shared" si="8"/>
        <v>1</v>
      </c>
      <c r="D48" s="62">
        <f t="shared" si="9"/>
        <v>0</v>
      </c>
      <c r="E48" s="64">
        <f t="shared" si="10"/>
        <v>1</v>
      </c>
      <c r="F48" s="74">
        <f>0+1+0+1</f>
        <v>2</v>
      </c>
      <c r="G48" s="64">
        <f t="shared" si="11"/>
        <v>22</v>
      </c>
      <c r="H48" s="62">
        <f t="shared" si="5"/>
        <v>2</v>
      </c>
      <c r="I48" s="65">
        <f t="shared" si="6"/>
        <v>24</v>
      </c>
    </row>
    <row r="49" spans="1:9" s="78" customFormat="1" ht="12.75">
      <c r="A49" s="17">
        <v>2010</v>
      </c>
      <c r="B49" s="62">
        <f t="shared" si="7"/>
        <v>0</v>
      </c>
      <c r="C49" s="63">
        <f t="shared" si="8"/>
        <v>1</v>
      </c>
      <c r="D49" s="62">
        <f t="shared" si="9"/>
        <v>0</v>
      </c>
      <c r="E49" s="64">
        <f t="shared" si="10"/>
        <v>1</v>
      </c>
      <c r="F49" s="74">
        <f>1+0+0</f>
        <v>1</v>
      </c>
      <c r="G49" s="64">
        <f t="shared" si="11"/>
        <v>23</v>
      </c>
      <c r="H49" s="62">
        <f t="shared" si="5"/>
        <v>1</v>
      </c>
      <c r="I49" s="65">
        <f t="shared" si="6"/>
        <v>25</v>
      </c>
    </row>
    <row r="50" spans="1:9" s="179" customFormat="1" ht="12.75">
      <c r="A50" s="171">
        <v>2011</v>
      </c>
      <c r="B50" s="175">
        <f t="shared" si="7"/>
        <v>0</v>
      </c>
      <c r="C50" s="141">
        <f t="shared" si="8"/>
        <v>1</v>
      </c>
      <c r="D50" s="175">
        <f t="shared" si="9"/>
        <v>0</v>
      </c>
      <c r="E50" s="140">
        <f t="shared" si="10"/>
        <v>1</v>
      </c>
      <c r="F50" s="175">
        <f>0+0+2</f>
        <v>2</v>
      </c>
      <c r="G50" s="140">
        <f t="shared" si="11"/>
        <v>25</v>
      </c>
      <c r="H50" s="175">
        <f aca="true" t="shared" si="12" ref="H50:H55">B50+D50+F50</f>
        <v>2</v>
      </c>
      <c r="I50" s="147">
        <f aca="true" t="shared" si="13" ref="I50:I55">I49+H50</f>
        <v>27</v>
      </c>
    </row>
    <row r="51" spans="1:9" s="179" customFormat="1" ht="12.75">
      <c r="A51" s="171">
        <v>2012</v>
      </c>
      <c r="B51" s="175">
        <f t="shared" si="7"/>
        <v>0</v>
      </c>
      <c r="C51" s="141">
        <f aca="true" t="shared" si="14" ref="C51:C56">C50+B51</f>
        <v>1</v>
      </c>
      <c r="D51" s="175">
        <f t="shared" si="9"/>
        <v>0</v>
      </c>
      <c r="E51" s="140">
        <f aca="true" t="shared" si="15" ref="E51:E56">E50+D51</f>
        <v>1</v>
      </c>
      <c r="F51" s="175">
        <f>1+1+0+0</f>
        <v>2</v>
      </c>
      <c r="G51" s="140">
        <f aca="true" t="shared" si="16" ref="G51:G56">G50+F51</f>
        <v>27</v>
      </c>
      <c r="H51" s="175">
        <f t="shared" si="12"/>
        <v>2</v>
      </c>
      <c r="I51" s="147">
        <f t="shared" si="13"/>
        <v>29</v>
      </c>
    </row>
    <row r="52" spans="1:9" s="179" customFormat="1" ht="12.75">
      <c r="A52" s="171">
        <v>2013</v>
      </c>
      <c r="B52" s="175">
        <f t="shared" si="7"/>
        <v>0</v>
      </c>
      <c r="C52" s="141">
        <f t="shared" si="14"/>
        <v>1</v>
      </c>
      <c r="D52" s="175">
        <f t="shared" si="9"/>
        <v>0</v>
      </c>
      <c r="E52" s="140">
        <f t="shared" si="15"/>
        <v>1</v>
      </c>
      <c r="F52" s="175">
        <f>0+0+0+0</f>
        <v>0</v>
      </c>
      <c r="G52" s="140">
        <f t="shared" si="16"/>
        <v>27</v>
      </c>
      <c r="H52" s="175">
        <f t="shared" si="12"/>
        <v>0</v>
      </c>
      <c r="I52" s="147">
        <f t="shared" si="13"/>
        <v>29</v>
      </c>
    </row>
    <row r="53" spans="1:9" s="185" customFormat="1" ht="12.75">
      <c r="A53" s="171">
        <v>2014</v>
      </c>
      <c r="B53" s="175">
        <f t="shared" si="7"/>
        <v>0</v>
      </c>
      <c r="C53" s="141">
        <f t="shared" si="14"/>
        <v>1</v>
      </c>
      <c r="D53" s="175">
        <f t="shared" si="9"/>
        <v>0</v>
      </c>
      <c r="E53" s="140">
        <f t="shared" si="15"/>
        <v>1</v>
      </c>
      <c r="F53" s="175">
        <f>0+1+1+0</f>
        <v>2</v>
      </c>
      <c r="G53" s="140">
        <f t="shared" si="16"/>
        <v>29</v>
      </c>
      <c r="H53" s="175">
        <f t="shared" si="12"/>
        <v>2</v>
      </c>
      <c r="I53" s="147">
        <f t="shared" si="13"/>
        <v>31</v>
      </c>
    </row>
    <row r="54" spans="1:9" s="179" customFormat="1" ht="12.75">
      <c r="A54" s="171">
        <v>2015</v>
      </c>
      <c r="B54" s="175">
        <f t="shared" si="7"/>
        <v>0</v>
      </c>
      <c r="C54" s="141">
        <f t="shared" si="14"/>
        <v>1</v>
      </c>
      <c r="D54" s="175">
        <f t="shared" si="9"/>
        <v>0</v>
      </c>
      <c r="E54" s="140">
        <f t="shared" si="15"/>
        <v>1</v>
      </c>
      <c r="F54" s="175">
        <f>0+1+1+0</f>
        <v>2</v>
      </c>
      <c r="G54" s="140">
        <f t="shared" si="16"/>
        <v>31</v>
      </c>
      <c r="H54" s="175">
        <f t="shared" si="12"/>
        <v>2</v>
      </c>
      <c r="I54" s="147">
        <f t="shared" si="13"/>
        <v>33</v>
      </c>
    </row>
    <row r="55" spans="1:9" s="185" customFormat="1" ht="12.75">
      <c r="A55" s="17">
        <v>2016</v>
      </c>
      <c r="B55" s="175">
        <f t="shared" si="7"/>
        <v>0</v>
      </c>
      <c r="C55" s="141">
        <f t="shared" si="14"/>
        <v>1</v>
      </c>
      <c r="D55" s="175">
        <f t="shared" si="9"/>
        <v>0</v>
      </c>
      <c r="E55" s="140">
        <f t="shared" si="15"/>
        <v>1</v>
      </c>
      <c r="F55" s="175">
        <f>0+1+1+0</f>
        <v>2</v>
      </c>
      <c r="G55" s="140">
        <f t="shared" si="16"/>
        <v>33</v>
      </c>
      <c r="H55" s="175">
        <f t="shared" si="12"/>
        <v>2</v>
      </c>
      <c r="I55" s="147">
        <f t="shared" si="13"/>
        <v>35</v>
      </c>
    </row>
    <row r="56" spans="1:9" s="185" customFormat="1" ht="12.75">
      <c r="A56" s="17">
        <v>2017</v>
      </c>
      <c r="B56" s="175">
        <f t="shared" si="7"/>
        <v>0</v>
      </c>
      <c r="C56" s="141">
        <f t="shared" si="14"/>
        <v>1</v>
      </c>
      <c r="D56" s="175">
        <f t="shared" si="9"/>
        <v>0</v>
      </c>
      <c r="E56" s="140">
        <f t="shared" si="15"/>
        <v>1</v>
      </c>
      <c r="F56" s="175">
        <f>0+1+0+1</f>
        <v>2</v>
      </c>
      <c r="G56" s="140">
        <f t="shared" si="16"/>
        <v>35</v>
      </c>
      <c r="H56" s="175">
        <f>B56+D56+F56</f>
        <v>2</v>
      </c>
      <c r="I56" s="147">
        <f>I55+H56</f>
        <v>37</v>
      </c>
    </row>
    <row r="57" spans="1:9" s="185" customFormat="1" ht="12.75">
      <c r="A57" s="17">
        <v>2018</v>
      </c>
      <c r="B57" s="175">
        <f t="shared" si="7"/>
        <v>0</v>
      </c>
      <c r="C57" s="141">
        <f>C56+B57</f>
        <v>1</v>
      </c>
      <c r="D57" s="175">
        <f t="shared" si="9"/>
        <v>0</v>
      </c>
      <c r="E57" s="140">
        <f>E56+D57</f>
        <v>1</v>
      </c>
      <c r="F57" s="175">
        <f>0+0+1+1</f>
        <v>2</v>
      </c>
      <c r="G57" s="140">
        <f>G56+F57</f>
        <v>37</v>
      </c>
      <c r="H57" s="175">
        <f>B57+D57+F57</f>
        <v>2</v>
      </c>
      <c r="I57" s="147">
        <f>I56+H57</f>
        <v>39</v>
      </c>
    </row>
    <row r="58" spans="1:9" s="185" customFormat="1" ht="12.75">
      <c r="A58" s="17">
        <v>2019</v>
      </c>
      <c r="B58" s="190">
        <f>0+0+0+0</f>
        <v>0</v>
      </c>
      <c r="C58" s="165">
        <f>C57+B58</f>
        <v>1</v>
      </c>
      <c r="D58" s="190">
        <f t="shared" si="9"/>
        <v>0</v>
      </c>
      <c r="E58" s="192">
        <f>E57+D58</f>
        <v>1</v>
      </c>
      <c r="F58" s="190">
        <f>0+0+0+0</f>
        <v>0</v>
      </c>
      <c r="G58" s="192">
        <f>G57+F58</f>
        <v>37</v>
      </c>
      <c r="H58" s="190">
        <f>B58+D58+F58</f>
        <v>0</v>
      </c>
      <c r="I58" s="193">
        <f>I57+H58</f>
        <v>39</v>
      </c>
    </row>
    <row r="59" spans="1:9" s="185" customFormat="1" ht="12.75">
      <c r="A59" s="243">
        <v>2020</v>
      </c>
      <c r="B59" s="190">
        <f>0+0+0+0</f>
        <v>0</v>
      </c>
      <c r="C59" s="165">
        <f>C58+B59</f>
        <v>1</v>
      </c>
      <c r="D59" s="190">
        <f t="shared" si="9"/>
        <v>0</v>
      </c>
      <c r="E59" s="192">
        <f>E58+D59</f>
        <v>1</v>
      </c>
      <c r="F59" s="190">
        <f>0+0+0+0</f>
        <v>0</v>
      </c>
      <c r="G59" s="192">
        <f>G58+F59</f>
        <v>37</v>
      </c>
      <c r="H59" s="190">
        <f>B59+D59+F59</f>
        <v>0</v>
      </c>
      <c r="I59" s="193">
        <f>I58+H59</f>
        <v>39</v>
      </c>
    </row>
    <row r="60" spans="1:9" ht="12.75">
      <c r="A60" s="17"/>
      <c r="B60" s="8"/>
      <c r="C60" s="11"/>
      <c r="D60" s="8"/>
      <c r="E60" s="30"/>
      <c r="F60" s="37"/>
      <c r="G60" s="30"/>
      <c r="H60" s="37"/>
      <c r="I60" s="30"/>
    </row>
    <row r="61" spans="1:9" ht="12.75">
      <c r="A61" s="17"/>
      <c r="B61" s="8"/>
      <c r="C61" s="11"/>
      <c r="D61" s="8"/>
      <c r="E61" s="30"/>
      <c r="F61" s="37"/>
      <c r="G61" s="30"/>
      <c r="H61" s="37"/>
      <c r="I61" s="30"/>
    </row>
    <row r="62" spans="1:9" ht="12.75">
      <c r="A62" s="17"/>
      <c r="B62" s="8"/>
      <c r="C62" s="29"/>
      <c r="D62" s="8"/>
      <c r="E62" s="30"/>
      <c r="F62" s="37"/>
      <c r="G62" s="30"/>
      <c r="H62" s="37"/>
      <c r="I62" s="30"/>
    </row>
    <row r="63" spans="1:9" ht="12.75">
      <c r="A63" s="17"/>
      <c r="B63" s="8"/>
      <c r="C63" s="29"/>
      <c r="D63" s="8"/>
      <c r="E63" s="30"/>
      <c r="F63" s="37"/>
      <c r="G63" s="30"/>
      <c r="H63" s="37"/>
      <c r="I63" s="30"/>
    </row>
    <row r="64" spans="1:9" ht="12.75">
      <c r="A64" s="17"/>
      <c r="B64" s="8"/>
      <c r="C64" s="29"/>
      <c r="D64" s="8"/>
      <c r="E64" s="30"/>
      <c r="F64" s="37"/>
      <c r="G64" s="30"/>
      <c r="H64" s="37"/>
      <c r="I64" s="30"/>
    </row>
    <row r="65" spans="1:9" ht="12.75">
      <c r="A65" s="17"/>
      <c r="B65" s="8"/>
      <c r="C65" s="29"/>
      <c r="D65" s="8"/>
      <c r="E65" s="30"/>
      <c r="F65" s="37"/>
      <c r="G65" s="30"/>
      <c r="H65" s="37"/>
      <c r="I65" s="30"/>
    </row>
    <row r="66" spans="1:9" ht="12.75">
      <c r="A66" s="17"/>
      <c r="B66" s="8"/>
      <c r="C66" s="29"/>
      <c r="D66" s="8"/>
      <c r="E66" s="30"/>
      <c r="F66" s="37"/>
      <c r="G66" s="30"/>
      <c r="H66" s="37"/>
      <c r="I66" s="30"/>
    </row>
    <row r="67" spans="1:9" ht="12.75">
      <c r="A67" s="17"/>
      <c r="B67" s="8"/>
      <c r="C67" s="29"/>
      <c r="D67" s="8"/>
      <c r="E67" s="30"/>
      <c r="F67" s="37"/>
      <c r="G67" s="30"/>
      <c r="H67" s="37"/>
      <c r="I67" s="30"/>
    </row>
    <row r="68" spans="1:9" ht="12.75">
      <c r="A68" s="17"/>
      <c r="B68" s="8"/>
      <c r="C68" s="29"/>
      <c r="D68" s="8"/>
      <c r="E68" s="30"/>
      <c r="F68" s="37"/>
      <c r="G68" s="30"/>
      <c r="H68" s="37"/>
      <c r="I68" s="30"/>
    </row>
    <row r="69" spans="1:9" ht="12.75">
      <c r="A69" s="17"/>
      <c r="B69" s="8"/>
      <c r="C69" s="29"/>
      <c r="D69" s="8"/>
      <c r="E69" s="30"/>
      <c r="F69" s="37"/>
      <c r="G69" s="30"/>
      <c r="H69" s="37"/>
      <c r="I69" s="30"/>
    </row>
    <row r="70" spans="1:9" ht="12.75">
      <c r="A70" s="17"/>
      <c r="B70" s="8"/>
      <c r="C70" s="29"/>
      <c r="D70" s="8"/>
      <c r="E70" s="30"/>
      <c r="F70" s="37"/>
      <c r="G70" s="30"/>
      <c r="H70" s="37"/>
      <c r="I70" s="30"/>
    </row>
    <row r="71" spans="1:9" ht="12.75">
      <c r="A71" s="17"/>
      <c r="B71" s="8"/>
      <c r="C71" s="29"/>
      <c r="D71" s="8"/>
      <c r="E71" s="30"/>
      <c r="F71" s="37"/>
      <c r="G71" s="30"/>
      <c r="H71" s="37"/>
      <c r="I71" s="30"/>
    </row>
    <row r="72" spans="1:9" ht="12.75">
      <c r="A72" s="18"/>
      <c r="B72" s="42"/>
      <c r="C72" s="32"/>
      <c r="D72" s="42"/>
      <c r="E72" s="33"/>
      <c r="F72" s="38"/>
      <c r="G72" s="33"/>
      <c r="H72" s="38"/>
      <c r="I72" s="33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4">
    <mergeCell ref="B1:C1"/>
    <mergeCell ref="H1:I1"/>
    <mergeCell ref="D1:E1"/>
    <mergeCell ref="F1:G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  <ignoredErrors>
    <ignoredError sqref="H43:H45 H29:H42 C43:F45 C48:E48 C49 F46:F47 G46:H47 C46:E47 G48:H48 I48 F48 C50 I49 G49:H49 I50 D49:F49 G50:H50 D50:E50 C51:C53 E51:F52 F50 E53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7" sqref="G47"/>
    </sheetView>
  </sheetViews>
  <sheetFormatPr defaultColWidth="9.140625" defaultRowHeight="12.75"/>
  <sheetData/>
  <sheetProtection/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2019-09-30 
</oddHeader>
    <oddFooter>&amp;CSida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M22"/>
  <sheetViews>
    <sheetView showGridLines="0" zoomScalePageLayoutView="0" workbookViewId="0" topLeftCell="A9">
      <selection activeCell="K12" sqref="K12"/>
    </sheetView>
  </sheetViews>
  <sheetFormatPr defaultColWidth="9.140625" defaultRowHeight="12.75"/>
  <cols>
    <col min="1" max="1" width="18.28125" style="115" customWidth="1"/>
    <col min="2" max="3" width="9.140625" style="115" customWidth="1"/>
    <col min="4" max="4" width="13.28125" style="115" customWidth="1"/>
    <col min="5" max="6" width="9.140625" style="115" customWidth="1"/>
    <col min="7" max="7" width="16.57421875" style="115" customWidth="1"/>
    <col min="8" max="8" width="2.57421875" style="115" customWidth="1"/>
    <col min="9" max="9" width="12.421875" style="115" customWidth="1"/>
    <col min="10" max="11" width="17.8515625" style="115" bestFit="1" customWidth="1"/>
    <col min="12" max="12" width="19.57421875" style="124" bestFit="1" customWidth="1"/>
    <col min="13" max="16384" width="9.140625" style="115" customWidth="1"/>
  </cols>
  <sheetData>
    <row r="1" spans="1:11" ht="19.5">
      <c r="A1" s="158"/>
      <c r="J1" s="377">
        <v>43830</v>
      </c>
      <c r="K1" s="377"/>
    </row>
    <row r="2" ht="20.25" thickBot="1"/>
    <row r="3" spans="1:13" ht="36.75" thickBot="1" thickTop="1">
      <c r="A3" s="246" t="s">
        <v>26</v>
      </c>
      <c r="B3" s="247"/>
      <c r="C3" s="247"/>
      <c r="D3" s="247"/>
      <c r="E3" s="247"/>
      <c r="F3" s="247"/>
      <c r="G3" s="247"/>
      <c r="H3" s="247"/>
      <c r="I3" s="247"/>
      <c r="J3" s="247"/>
      <c r="K3" s="125"/>
      <c r="L3" s="126"/>
      <c r="M3" s="118"/>
    </row>
    <row r="4" ht="20.25" thickTop="1"/>
    <row r="5" ht="19.5">
      <c r="A5" s="203"/>
    </row>
    <row r="7" spans="1:9" ht="24.75" customHeight="1">
      <c r="A7" s="115" t="s">
        <v>4</v>
      </c>
      <c r="B7" s="127"/>
      <c r="C7" s="128"/>
      <c r="E7" s="127"/>
      <c r="F7" s="129"/>
      <c r="G7" s="159">
        <v>2.4</v>
      </c>
      <c r="H7" s="159"/>
      <c r="I7" s="131" t="s">
        <v>27</v>
      </c>
    </row>
    <row r="8" spans="1:9" ht="24.75" customHeight="1">
      <c r="A8" s="129" t="s">
        <v>36</v>
      </c>
      <c r="B8" s="127"/>
      <c r="C8" s="128"/>
      <c r="D8" s="129"/>
      <c r="E8" s="127"/>
      <c r="F8" s="129"/>
      <c r="G8" s="159">
        <v>2.12</v>
      </c>
      <c r="H8" s="159"/>
      <c r="I8" s="131" t="s">
        <v>27</v>
      </c>
    </row>
    <row r="9" spans="1:9" ht="24.75" customHeight="1">
      <c r="A9" s="115" t="s">
        <v>6</v>
      </c>
      <c r="F9" s="129"/>
      <c r="G9" s="159">
        <v>3.9</v>
      </c>
      <c r="H9" s="159"/>
      <c r="I9" s="131" t="s">
        <v>27</v>
      </c>
    </row>
    <row r="10" spans="1:9" ht="24.75" customHeight="1">
      <c r="A10" s="115" t="s">
        <v>7</v>
      </c>
      <c r="G10" s="159">
        <v>1.9</v>
      </c>
      <c r="H10" s="159"/>
      <c r="I10" s="131" t="s">
        <v>27</v>
      </c>
    </row>
    <row r="11" spans="7:10" ht="19.5">
      <c r="G11" s="132"/>
      <c r="H11" s="132"/>
      <c r="I11" s="132"/>
      <c r="J11" s="132"/>
    </row>
    <row r="12" spans="1:10" ht="19.5">
      <c r="A12" s="132" t="s">
        <v>28</v>
      </c>
      <c r="G12" s="133">
        <f>SUM(G7:G11)</f>
        <v>10.32</v>
      </c>
      <c r="H12" s="133"/>
      <c r="I12" s="134" t="s">
        <v>27</v>
      </c>
      <c r="J12" s="132"/>
    </row>
    <row r="13" spans="7:12" s="122" customFormat="1" ht="19.5" customHeight="1">
      <c r="G13" s="135"/>
      <c r="H13" s="135"/>
      <c r="L13" s="136"/>
    </row>
    <row r="14" spans="1:12" s="122" customFormat="1" ht="24.75" customHeight="1">
      <c r="A14" s="115" t="s">
        <v>29</v>
      </c>
      <c r="G14" s="130">
        <v>5.9</v>
      </c>
      <c r="H14" s="130"/>
      <c r="I14" s="131" t="s">
        <v>27</v>
      </c>
      <c r="L14" s="136"/>
    </row>
    <row r="15" spans="1:12" s="122" customFormat="1" ht="24.75" customHeight="1">
      <c r="A15" s="115" t="s">
        <v>30</v>
      </c>
      <c r="G15" s="130">
        <v>5.5</v>
      </c>
      <c r="H15" s="130"/>
      <c r="I15" s="131" t="s">
        <v>27</v>
      </c>
      <c r="L15" s="136"/>
    </row>
    <row r="16" spans="1:9" ht="24.75" customHeight="1">
      <c r="A16" s="115" t="s">
        <v>31</v>
      </c>
      <c r="G16" s="159">
        <v>5.3</v>
      </c>
      <c r="H16" s="159"/>
      <c r="I16" s="131" t="s">
        <v>27</v>
      </c>
    </row>
    <row r="17" spans="1:9" ht="24.75" customHeight="1">
      <c r="A17" s="115" t="s">
        <v>32</v>
      </c>
      <c r="G17" s="137">
        <v>355620</v>
      </c>
      <c r="H17" s="137"/>
      <c r="I17" s="131" t="s">
        <v>33</v>
      </c>
    </row>
    <row r="18" spans="1:9" ht="24.75" customHeight="1">
      <c r="A18" s="115" t="s">
        <v>63</v>
      </c>
      <c r="G18" s="130">
        <v>1.3</v>
      </c>
      <c r="I18" s="131" t="s">
        <v>27</v>
      </c>
    </row>
    <row r="21" s="122" customFormat="1" ht="12.75">
      <c r="L21" s="161"/>
    </row>
    <row r="22" ht="19.5">
      <c r="A22" s="138" t="s">
        <v>34</v>
      </c>
    </row>
  </sheetData>
  <sheetProtection/>
  <mergeCells count="1">
    <mergeCell ref="J1:K1"/>
  </mergeCells>
  <printOptions/>
  <pageMargins left="0.75" right="0.51" top="0.59" bottom="0.6" header="0.34" footer="0.4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96"/>
  <sheetViews>
    <sheetView showGridLines="0" zoomScalePageLayoutView="0" workbookViewId="0" topLeftCell="A1">
      <pane ySplit="1185" topLeftCell="A46" activePane="bottomLeft" state="split"/>
      <selection pane="topLeft" activeCell="L1" sqref="L1:M1"/>
      <selection pane="bottomLeft" activeCell="H66" sqref="H66"/>
    </sheetView>
  </sheetViews>
  <sheetFormatPr defaultColWidth="9.140625" defaultRowHeight="12.75"/>
  <cols>
    <col min="1" max="1" width="5.7109375" style="1" customWidth="1"/>
    <col min="2" max="21" width="6.7109375" style="0" customWidth="1"/>
  </cols>
  <sheetData>
    <row r="1" spans="1:21" s="275" customFormat="1" ht="27" customHeight="1">
      <c r="A1" s="274"/>
      <c r="B1" s="378" t="s">
        <v>57</v>
      </c>
      <c r="C1" s="379"/>
      <c r="D1" s="378" t="s">
        <v>56</v>
      </c>
      <c r="E1" s="379"/>
      <c r="F1" s="378" t="s">
        <v>58</v>
      </c>
      <c r="G1" s="379"/>
      <c r="H1" s="380" t="s">
        <v>15</v>
      </c>
      <c r="I1" s="381"/>
      <c r="J1" s="380" t="s">
        <v>16</v>
      </c>
      <c r="K1" s="381"/>
      <c r="L1" s="380" t="s">
        <v>65</v>
      </c>
      <c r="M1" s="381"/>
      <c r="N1" s="380" t="s">
        <v>17</v>
      </c>
      <c r="O1" s="381"/>
      <c r="P1" s="378" t="s">
        <v>59</v>
      </c>
      <c r="Q1" s="379"/>
      <c r="R1" s="380" t="s">
        <v>18</v>
      </c>
      <c r="S1" s="381"/>
      <c r="T1" s="380" t="s">
        <v>19</v>
      </c>
      <c r="U1" s="382"/>
    </row>
    <row r="2" spans="1:21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5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  <c r="L2" s="3" t="s">
        <v>0</v>
      </c>
      <c r="M2" s="4" t="s">
        <v>1</v>
      </c>
      <c r="N2" s="3" t="s">
        <v>0</v>
      </c>
      <c r="O2" s="4" t="s">
        <v>1</v>
      </c>
      <c r="P2" s="3" t="s">
        <v>0</v>
      </c>
      <c r="Q2" s="4" t="s">
        <v>1</v>
      </c>
      <c r="R2" s="3" t="s">
        <v>0</v>
      </c>
      <c r="S2" s="4" t="s">
        <v>1</v>
      </c>
      <c r="T2" s="3" t="s">
        <v>0</v>
      </c>
      <c r="U2" s="4" t="s">
        <v>1</v>
      </c>
    </row>
    <row r="3" spans="1:21" s="78" customFormat="1" ht="17.25" customHeight="1" thickTop="1">
      <c r="A3" s="17">
        <v>1964</v>
      </c>
      <c r="B3" s="62"/>
      <c r="C3" s="76"/>
      <c r="D3" s="97">
        <f>'Nj-AD+LD'!AI3</f>
        <v>4</v>
      </c>
      <c r="E3" s="76">
        <f>'Nj-AD+LD'!AK3</f>
        <v>4</v>
      </c>
      <c r="F3" s="62">
        <f>'Nj-AD+LD'!AE3</f>
        <v>7</v>
      </c>
      <c r="G3" s="70">
        <f>'Nj-AD+LD'!AF3</f>
        <v>7</v>
      </c>
      <c r="H3" s="71"/>
      <c r="I3" s="70"/>
      <c r="J3" s="71"/>
      <c r="K3" s="70"/>
      <c r="L3" s="71"/>
      <c r="M3" s="70"/>
      <c r="N3" s="71"/>
      <c r="O3" s="70"/>
      <c r="P3" s="71"/>
      <c r="Q3" s="70"/>
      <c r="R3" s="71"/>
      <c r="S3" s="70"/>
      <c r="T3" s="71"/>
      <c r="U3" s="70"/>
    </row>
    <row r="4" spans="1:21" s="78" customFormat="1" ht="12.75">
      <c r="A4" s="17">
        <v>1965</v>
      </c>
      <c r="B4" s="62"/>
      <c r="C4" s="63"/>
      <c r="D4" s="72">
        <f>'Nj-AD+LD'!AI4</f>
        <v>8</v>
      </c>
      <c r="E4" s="63">
        <f>'Nj-AD+LD'!AK4</f>
        <v>12</v>
      </c>
      <c r="F4" s="62">
        <f>'Nj-AD+LD'!AE4</f>
        <v>14</v>
      </c>
      <c r="G4" s="63">
        <f>'Nj-AD+LD'!AF4</f>
        <v>21</v>
      </c>
      <c r="H4" s="62"/>
      <c r="I4" s="64"/>
      <c r="J4" s="62"/>
      <c r="K4" s="64"/>
      <c r="L4" s="62"/>
      <c r="M4" s="64"/>
      <c r="N4" s="62"/>
      <c r="O4" s="64"/>
      <c r="P4" s="62"/>
      <c r="Q4" s="64"/>
      <c r="R4" s="62"/>
      <c r="S4" s="64"/>
      <c r="T4" s="62"/>
      <c r="U4" s="65"/>
    </row>
    <row r="5" spans="1:21" s="78" customFormat="1" ht="12.75">
      <c r="A5" s="17">
        <v>1966</v>
      </c>
      <c r="B5" s="62"/>
      <c r="C5" s="63"/>
      <c r="D5" s="72">
        <f>'Nj-AD+LD'!AI5</f>
        <v>23</v>
      </c>
      <c r="E5" s="63">
        <f>'Nj-AD+LD'!AK5</f>
        <v>35</v>
      </c>
      <c r="F5" s="62">
        <f>'Nj-AD+LD'!AE5</f>
        <v>39</v>
      </c>
      <c r="G5" s="63">
        <f>'Nj-AD+LD'!AF5</f>
        <v>60</v>
      </c>
      <c r="H5" s="62"/>
      <c r="I5" s="64"/>
      <c r="J5" s="62"/>
      <c r="K5" s="64"/>
      <c r="L5" s="62"/>
      <c r="M5" s="64"/>
      <c r="N5" s="62"/>
      <c r="O5" s="64"/>
      <c r="P5" s="62"/>
      <c r="Q5" s="64"/>
      <c r="R5" s="62"/>
      <c r="S5" s="64"/>
      <c r="T5" s="62"/>
      <c r="U5" s="65"/>
    </row>
    <row r="6" spans="1:21" s="78" customFormat="1" ht="12.75">
      <c r="A6" s="17">
        <v>1967</v>
      </c>
      <c r="B6" s="62"/>
      <c r="C6" s="63"/>
      <c r="D6" s="72">
        <f>'Nj-AD+LD'!AI6</f>
        <v>17</v>
      </c>
      <c r="E6" s="63">
        <f>'Nj-AD+LD'!AK6</f>
        <v>52</v>
      </c>
      <c r="F6" s="62">
        <f>'Nj-AD+LD'!AE6</f>
        <v>57</v>
      </c>
      <c r="G6" s="63">
        <f>'Nj-AD+LD'!AF6</f>
        <v>117</v>
      </c>
      <c r="H6" s="62"/>
      <c r="I6" s="64"/>
      <c r="J6" s="62"/>
      <c r="K6" s="64"/>
      <c r="L6" s="62"/>
      <c r="M6" s="64"/>
      <c r="N6" s="62"/>
      <c r="O6" s="64"/>
      <c r="P6" s="62"/>
      <c r="Q6" s="64"/>
      <c r="R6" s="62"/>
      <c r="S6" s="64"/>
      <c r="T6" s="62"/>
      <c r="U6" s="65"/>
    </row>
    <row r="7" spans="1:21" s="78" customFormat="1" ht="12.75">
      <c r="A7" s="17">
        <v>1968</v>
      </c>
      <c r="B7" s="62"/>
      <c r="C7" s="63"/>
      <c r="D7" s="72">
        <f>'Nj-AD+LD'!AI7</f>
        <v>16</v>
      </c>
      <c r="E7" s="63">
        <f>'Nj-AD+LD'!AK7</f>
        <v>68</v>
      </c>
      <c r="F7" s="62">
        <f>'Nj-AD+LD'!AE7</f>
        <v>71</v>
      </c>
      <c r="G7" s="63">
        <f>'Nj-AD+LD'!AF7</f>
        <v>188</v>
      </c>
      <c r="H7" s="62"/>
      <c r="I7" s="64"/>
      <c r="J7" s="62"/>
      <c r="K7" s="64"/>
      <c r="L7" s="62"/>
      <c r="M7" s="64"/>
      <c r="N7" s="62"/>
      <c r="O7" s="64"/>
      <c r="P7" s="62"/>
      <c r="Q7" s="64"/>
      <c r="R7" s="62"/>
      <c r="S7" s="64"/>
      <c r="T7" s="62"/>
      <c r="U7" s="65"/>
    </row>
    <row r="8" spans="1:21" s="78" customFormat="1" ht="12.75">
      <c r="A8" s="17">
        <v>1969</v>
      </c>
      <c r="B8" s="62"/>
      <c r="C8" s="63"/>
      <c r="D8" s="72">
        <f>'Nj-AD+LD'!AI8</f>
        <v>7</v>
      </c>
      <c r="E8" s="63">
        <f>'Nj-AD+LD'!AK8</f>
        <v>75</v>
      </c>
      <c r="F8" s="62">
        <f>'Nj-AD+LD'!AE8</f>
        <v>96</v>
      </c>
      <c r="G8" s="63">
        <f>'Nj-AD+LD'!AF8</f>
        <v>284</v>
      </c>
      <c r="H8" s="62"/>
      <c r="I8" s="64"/>
      <c r="J8" s="62"/>
      <c r="K8" s="64"/>
      <c r="L8" s="62"/>
      <c r="M8" s="64"/>
      <c r="N8" s="62"/>
      <c r="O8" s="64"/>
      <c r="P8" s="62"/>
      <c r="Q8" s="64"/>
      <c r="R8" s="62"/>
      <c r="S8" s="64"/>
      <c r="T8" s="62"/>
      <c r="U8" s="65"/>
    </row>
    <row r="9" spans="1:21" s="78" customFormat="1" ht="12.75">
      <c r="A9" s="17">
        <v>1970</v>
      </c>
      <c r="B9" s="62"/>
      <c r="C9" s="63"/>
      <c r="D9" s="72">
        <f>'Nj-AD+LD'!AI9</f>
        <v>4</v>
      </c>
      <c r="E9" s="63">
        <f>'Nj-AD+LD'!AK9</f>
        <v>79</v>
      </c>
      <c r="F9" s="62">
        <f>'Nj-AD+LD'!AE9</f>
        <v>146</v>
      </c>
      <c r="G9" s="63">
        <f>'Nj-AD+LD'!AF9</f>
        <v>430</v>
      </c>
      <c r="H9" s="62"/>
      <c r="I9" s="64"/>
      <c r="J9" s="62"/>
      <c r="K9" s="64"/>
      <c r="L9" s="62"/>
      <c r="M9" s="64"/>
      <c r="N9" s="62"/>
      <c r="O9" s="64"/>
      <c r="P9" s="62"/>
      <c r="Q9" s="64"/>
      <c r="R9" s="62"/>
      <c r="S9" s="64"/>
      <c r="T9" s="62"/>
      <c r="U9" s="65"/>
    </row>
    <row r="10" spans="1:21" s="78" customFormat="1" ht="12.75">
      <c r="A10" s="17">
        <v>1971</v>
      </c>
      <c r="B10" s="62"/>
      <c r="C10" s="63"/>
      <c r="D10" s="72">
        <f>'Nj-AD+LD'!AI10</f>
        <v>16</v>
      </c>
      <c r="E10" s="63">
        <f>'Nj-AD+LD'!AK10</f>
        <v>95</v>
      </c>
      <c r="F10" s="62">
        <f>'Nj-AD+LD'!AE10</f>
        <v>146</v>
      </c>
      <c r="G10" s="63">
        <f>'Nj-AD+LD'!AF10</f>
        <v>576</v>
      </c>
      <c r="H10" s="62"/>
      <c r="I10" s="64"/>
      <c r="J10" s="62"/>
      <c r="K10" s="64"/>
      <c r="L10" s="62"/>
      <c r="M10" s="64"/>
      <c r="N10" s="62"/>
      <c r="O10" s="64"/>
      <c r="P10" s="62"/>
      <c r="Q10" s="64"/>
      <c r="R10" s="62"/>
      <c r="S10" s="64"/>
      <c r="T10" s="62"/>
      <c r="U10" s="65"/>
    </row>
    <row r="11" spans="1:21" s="78" customFormat="1" ht="12.75">
      <c r="A11" s="17">
        <v>1972</v>
      </c>
      <c r="B11" s="62"/>
      <c r="C11" s="63"/>
      <c r="D11" s="72">
        <f>'Nj-AD+LD'!AI11</f>
        <v>26</v>
      </c>
      <c r="E11" s="63">
        <f>'Nj-AD+LD'!AK11</f>
        <v>121</v>
      </c>
      <c r="F11" s="62">
        <f>'Nj-AD+LD'!AE11</f>
        <v>183</v>
      </c>
      <c r="G11" s="63">
        <f>'Nj-AD+LD'!AF11</f>
        <v>759</v>
      </c>
      <c r="H11" s="62"/>
      <c r="I11" s="64"/>
      <c r="J11" s="62"/>
      <c r="K11" s="64"/>
      <c r="L11" s="62"/>
      <c r="M11" s="64"/>
      <c r="N11" s="62"/>
      <c r="O11" s="64"/>
      <c r="P11" s="62"/>
      <c r="Q11" s="64"/>
      <c r="R11" s="62"/>
      <c r="S11" s="64"/>
      <c r="T11" s="62"/>
      <c r="U11" s="65"/>
    </row>
    <row r="12" spans="1:21" s="78" customFormat="1" ht="12.75">
      <c r="A12" s="17">
        <v>1973</v>
      </c>
      <c r="B12" s="62"/>
      <c r="C12" s="63"/>
      <c r="D12" s="72">
        <f>'Nj-AD+LD'!AI12</f>
        <v>30</v>
      </c>
      <c r="E12" s="63">
        <f>'Nj-AD+LD'!AK12</f>
        <v>151</v>
      </c>
      <c r="F12" s="62">
        <f>'Nj-AD+LD'!AE12</f>
        <v>192</v>
      </c>
      <c r="G12" s="63">
        <f>'Nj-AD+LD'!AF12</f>
        <v>951</v>
      </c>
      <c r="H12" s="62"/>
      <c r="I12" s="64"/>
      <c r="J12" s="62"/>
      <c r="K12" s="64"/>
      <c r="L12" s="62"/>
      <c r="M12" s="64"/>
      <c r="N12" s="62"/>
      <c r="O12" s="64"/>
      <c r="P12" s="62"/>
      <c r="Q12" s="64"/>
      <c r="R12" s="62"/>
      <c r="S12" s="64"/>
      <c r="T12" s="62"/>
      <c r="U12" s="65"/>
    </row>
    <row r="13" spans="1:21" s="78" customFormat="1" ht="12.75">
      <c r="A13" s="17">
        <v>1974</v>
      </c>
      <c r="B13" s="62"/>
      <c r="C13" s="63"/>
      <c r="D13" s="72">
        <f>'Nj-AD+LD'!AI13</f>
        <v>25</v>
      </c>
      <c r="E13" s="63">
        <f>'Nj-AD+LD'!AK13</f>
        <v>176</v>
      </c>
      <c r="F13" s="62">
        <f>'Nj-AD+LD'!AE13</f>
        <v>207</v>
      </c>
      <c r="G13" s="63">
        <f>'Nj-AD+LD'!AF13</f>
        <v>1158</v>
      </c>
      <c r="H13" s="62">
        <f>Pa!J13</f>
        <v>3</v>
      </c>
      <c r="I13" s="64">
        <f>Pa!K13</f>
        <v>3</v>
      </c>
      <c r="J13" s="62"/>
      <c r="K13" s="64"/>
      <c r="L13" s="62"/>
      <c r="M13" s="64"/>
      <c r="N13" s="62"/>
      <c r="O13" s="64"/>
      <c r="P13" s="62"/>
      <c r="Q13" s="64"/>
      <c r="R13" s="62"/>
      <c r="S13" s="64"/>
      <c r="T13" s="62"/>
      <c r="U13" s="65"/>
    </row>
    <row r="14" spans="1:21" s="78" customFormat="1" ht="12.75">
      <c r="A14" s="17">
        <v>1975</v>
      </c>
      <c r="B14" s="62"/>
      <c r="C14" s="63"/>
      <c r="D14" s="72">
        <f>'Nj-AD+LD'!AI14</f>
        <v>28</v>
      </c>
      <c r="E14" s="63">
        <f>'Nj-AD+LD'!AK14</f>
        <v>204</v>
      </c>
      <c r="F14" s="62">
        <f>'Nj-AD+LD'!AE14</f>
        <v>192</v>
      </c>
      <c r="G14" s="63">
        <f>'Nj-AD+LD'!AF14</f>
        <v>1350</v>
      </c>
      <c r="H14" s="62">
        <f>Pa!J14</f>
        <v>3</v>
      </c>
      <c r="I14" s="64">
        <f>Pa!K14</f>
        <v>6</v>
      </c>
      <c r="J14" s="62"/>
      <c r="K14" s="64"/>
      <c r="L14" s="62"/>
      <c r="M14" s="64"/>
      <c r="N14" s="62"/>
      <c r="O14" s="64"/>
      <c r="P14" s="62"/>
      <c r="Q14" s="64"/>
      <c r="R14" s="62"/>
      <c r="S14" s="64"/>
      <c r="T14" s="62"/>
      <c r="U14" s="65"/>
    </row>
    <row r="15" spans="1:21" s="78" customFormat="1" ht="12.75">
      <c r="A15" s="17">
        <v>1976</v>
      </c>
      <c r="B15" s="62"/>
      <c r="C15" s="63"/>
      <c r="D15" s="72">
        <f>'Nj-AD+LD'!AI15</f>
        <v>29</v>
      </c>
      <c r="E15" s="63">
        <f>'Nj-AD+LD'!AK15</f>
        <v>233</v>
      </c>
      <c r="F15" s="62">
        <f>'Nj-AD+LD'!AE15</f>
        <v>175</v>
      </c>
      <c r="G15" s="63">
        <f>'Nj-AD+LD'!AF15</f>
        <v>1525</v>
      </c>
      <c r="H15" s="62">
        <f>Pa!J15</f>
        <v>2</v>
      </c>
      <c r="I15" s="64">
        <f>Pa!K15</f>
        <v>8</v>
      </c>
      <c r="J15" s="62"/>
      <c r="K15" s="64"/>
      <c r="L15" s="62"/>
      <c r="M15" s="64"/>
      <c r="N15" s="62"/>
      <c r="O15" s="64"/>
      <c r="P15" s="62"/>
      <c r="Q15" s="64"/>
      <c r="R15" s="62"/>
      <c r="S15" s="64"/>
      <c r="T15" s="62"/>
      <c r="U15" s="65"/>
    </row>
    <row r="16" spans="1:21" s="78" customFormat="1" ht="12.75">
      <c r="A16" s="17">
        <v>1977</v>
      </c>
      <c r="B16" s="62"/>
      <c r="C16" s="63"/>
      <c r="D16" s="72">
        <f>'Nj-AD+LD'!AI16</f>
        <v>27</v>
      </c>
      <c r="E16" s="63">
        <f>'Nj-AD+LD'!AK16</f>
        <v>260</v>
      </c>
      <c r="F16" s="62">
        <f>'Nj-AD+LD'!AE16</f>
        <v>214</v>
      </c>
      <c r="G16" s="63">
        <f>'Nj-AD+LD'!AF16</f>
        <v>1739</v>
      </c>
      <c r="H16" s="62">
        <f>Pa!J16</f>
        <v>0</v>
      </c>
      <c r="I16" s="64">
        <f>Pa!K16</f>
        <v>8</v>
      </c>
      <c r="J16" s="62"/>
      <c r="K16" s="64"/>
      <c r="L16" s="62"/>
      <c r="M16" s="64"/>
      <c r="N16" s="62"/>
      <c r="O16" s="64"/>
      <c r="P16" s="62"/>
      <c r="Q16" s="64"/>
      <c r="R16" s="62"/>
      <c r="S16" s="64"/>
      <c r="T16" s="62"/>
      <c r="U16" s="65"/>
    </row>
    <row r="17" spans="1:21" s="78" customFormat="1" ht="12.75">
      <c r="A17" s="17">
        <v>1978</v>
      </c>
      <c r="B17" s="62"/>
      <c r="C17" s="63"/>
      <c r="D17" s="72">
        <f>'Nj-AD+LD'!AI17</f>
        <v>46</v>
      </c>
      <c r="E17" s="63">
        <f>'Nj-AD+LD'!AK17</f>
        <v>306</v>
      </c>
      <c r="F17" s="62">
        <f>'Nj-AD+LD'!AE17</f>
        <v>230</v>
      </c>
      <c r="G17" s="63">
        <f>'Nj-AD+LD'!AF17</f>
        <v>1969</v>
      </c>
      <c r="H17" s="62">
        <f>Pa!J17</f>
        <v>2</v>
      </c>
      <c r="I17" s="64">
        <f>Pa!K17</f>
        <v>10</v>
      </c>
      <c r="J17" s="62"/>
      <c r="K17" s="64"/>
      <c r="L17" s="62"/>
      <c r="M17" s="64"/>
      <c r="N17" s="62"/>
      <c r="O17" s="64"/>
      <c r="P17" s="62"/>
      <c r="Q17" s="64"/>
      <c r="R17" s="62"/>
      <c r="S17" s="64"/>
      <c r="T17" s="62"/>
      <c r="U17" s="65"/>
    </row>
    <row r="18" spans="1:21" s="78" customFormat="1" ht="12.75">
      <c r="A18" s="17">
        <v>1979</v>
      </c>
      <c r="B18" s="62"/>
      <c r="C18" s="63"/>
      <c r="D18" s="72">
        <f>'Nj-AD+LD'!AI18</f>
        <v>53</v>
      </c>
      <c r="E18" s="63">
        <f>'Nj-AD+LD'!AK18</f>
        <v>359</v>
      </c>
      <c r="F18" s="62">
        <f>'Nj-AD+LD'!AE18</f>
        <v>230</v>
      </c>
      <c r="G18" s="63">
        <f>'Nj-AD+LD'!AF18</f>
        <v>2199</v>
      </c>
      <c r="H18" s="62">
        <f>Pa!J18</f>
        <v>0</v>
      </c>
      <c r="I18" s="64">
        <f>Pa!K18</f>
        <v>10</v>
      </c>
      <c r="J18" s="62"/>
      <c r="K18" s="64"/>
      <c r="L18" s="62"/>
      <c r="M18" s="64"/>
      <c r="N18" s="62"/>
      <c r="O18" s="64"/>
      <c r="P18" s="62"/>
      <c r="Q18" s="64"/>
      <c r="R18" s="62"/>
      <c r="S18" s="64"/>
      <c r="T18" s="62"/>
      <c r="U18" s="65"/>
    </row>
    <row r="19" spans="1:21" s="78" customFormat="1" ht="12.75">
      <c r="A19" s="17">
        <v>1980</v>
      </c>
      <c r="B19" s="62"/>
      <c r="C19" s="63"/>
      <c r="D19" s="72">
        <f>'Nj-AD+LD'!AI19</f>
        <v>65</v>
      </c>
      <c r="E19" s="63">
        <f>'Nj-AD+LD'!AK19</f>
        <v>424</v>
      </c>
      <c r="F19" s="62">
        <f>'Nj-AD+LD'!AE19</f>
        <v>241</v>
      </c>
      <c r="G19" s="63">
        <f>'Nj-AD+LD'!AF19</f>
        <v>2440</v>
      </c>
      <c r="H19" s="62">
        <f>Pa!J19</f>
        <v>1</v>
      </c>
      <c r="I19" s="64">
        <f>Pa!K19</f>
        <v>11</v>
      </c>
      <c r="J19" s="62"/>
      <c r="K19" s="64"/>
      <c r="L19" s="62"/>
      <c r="M19" s="64"/>
      <c r="N19" s="62"/>
      <c r="O19" s="64"/>
      <c r="P19" s="62"/>
      <c r="Q19" s="64"/>
      <c r="R19" s="62"/>
      <c r="S19" s="64"/>
      <c r="T19" s="62"/>
      <c r="U19" s="65"/>
    </row>
    <row r="20" spans="1:21" s="78" customFormat="1" ht="12.75">
      <c r="A20" s="17">
        <v>1981</v>
      </c>
      <c r="B20" s="62">
        <f>'Don-AD'!P20</f>
        <v>110</v>
      </c>
      <c r="C20" s="63">
        <f>'Don-AD'!Q20</f>
        <v>110</v>
      </c>
      <c r="D20" s="72">
        <f>'Nj-AD+LD'!AI20</f>
        <v>63</v>
      </c>
      <c r="E20" s="63">
        <f>'Nj-AD+LD'!AK20</f>
        <v>487</v>
      </c>
      <c r="F20" s="62">
        <f>'Nj-AD+LD'!AE20</f>
        <v>245</v>
      </c>
      <c r="G20" s="63">
        <f>'Nj-AD+LD'!AF20</f>
        <v>2685</v>
      </c>
      <c r="H20" s="62">
        <f>Pa!J20</f>
        <v>6</v>
      </c>
      <c r="I20" s="64">
        <f>Pa!K20</f>
        <v>17</v>
      </c>
      <c r="J20" s="62"/>
      <c r="K20" s="64"/>
      <c r="L20" s="62"/>
      <c r="M20" s="64"/>
      <c r="N20" s="62"/>
      <c r="O20" s="64"/>
      <c r="P20" s="62"/>
      <c r="Q20" s="64"/>
      <c r="R20" s="62"/>
      <c r="S20" s="64"/>
      <c r="T20" s="62"/>
      <c r="U20" s="65"/>
    </row>
    <row r="21" spans="1:21" s="78" customFormat="1" ht="12.75">
      <c r="A21" s="17">
        <v>1982</v>
      </c>
      <c r="B21" s="62">
        <f>'Don-AD'!P21</f>
        <v>108</v>
      </c>
      <c r="C21" s="63">
        <f>'Don-AD'!Q21</f>
        <v>218</v>
      </c>
      <c r="D21" s="72">
        <f>'Nj-AD+LD'!AI21</f>
        <v>52</v>
      </c>
      <c r="E21" s="63">
        <f>'Nj-AD+LD'!AK21</f>
        <v>539</v>
      </c>
      <c r="F21" s="62">
        <f>'Nj-AD+LD'!AE21</f>
        <v>233</v>
      </c>
      <c r="G21" s="63">
        <f>'Nj-AD+LD'!AF21</f>
        <v>2918</v>
      </c>
      <c r="H21" s="62">
        <f>Pa!J21</f>
        <v>5</v>
      </c>
      <c r="I21" s="64">
        <f>Pa!K21</f>
        <v>22</v>
      </c>
      <c r="J21" s="62"/>
      <c r="K21" s="64"/>
      <c r="L21" s="62"/>
      <c r="M21" s="64"/>
      <c r="N21" s="62"/>
      <c r="O21" s="64"/>
      <c r="P21" s="62"/>
      <c r="Q21" s="64"/>
      <c r="R21" s="62"/>
      <c r="S21" s="64"/>
      <c r="T21" s="62"/>
      <c r="U21" s="65"/>
    </row>
    <row r="22" spans="1:21" s="78" customFormat="1" ht="12.75">
      <c r="A22" s="17">
        <v>1983</v>
      </c>
      <c r="B22" s="62">
        <f>'Don-AD'!P22</f>
        <v>110</v>
      </c>
      <c r="C22" s="63">
        <f>'Don-AD'!Q22</f>
        <v>328</v>
      </c>
      <c r="D22" s="72">
        <f>'Nj-AD+LD'!AI22</f>
        <v>76</v>
      </c>
      <c r="E22" s="64">
        <f>'Nj-AD+LD'!AK22</f>
        <v>615</v>
      </c>
      <c r="F22" s="62">
        <f>'Nj-AD+LD'!AE22</f>
        <v>277</v>
      </c>
      <c r="G22" s="63">
        <f>'Nj-AD+LD'!AF22</f>
        <v>3195</v>
      </c>
      <c r="H22" s="62">
        <f>Pa!J22</f>
        <v>10</v>
      </c>
      <c r="I22" s="64">
        <f>Pa!K22</f>
        <v>32</v>
      </c>
      <c r="J22" s="62"/>
      <c r="K22" s="64"/>
      <c r="L22" s="62"/>
      <c r="M22" s="64"/>
      <c r="N22" s="62"/>
      <c r="O22" s="64"/>
      <c r="P22" s="62"/>
      <c r="Q22" s="64"/>
      <c r="R22" s="62"/>
      <c r="S22" s="64"/>
      <c r="T22" s="62"/>
      <c r="U22" s="65"/>
    </row>
    <row r="23" spans="1:21" s="78" customFormat="1" ht="12.75">
      <c r="A23" s="17">
        <v>1984</v>
      </c>
      <c r="B23" s="62">
        <f>'Don-AD'!P23</f>
        <v>149</v>
      </c>
      <c r="C23" s="63">
        <f>'Don-AD'!Q23</f>
        <v>477</v>
      </c>
      <c r="D23" s="72">
        <f>'Nj-AD+LD'!AI23</f>
        <v>69</v>
      </c>
      <c r="E23" s="64">
        <f>'Nj-AD+LD'!AK23</f>
        <v>684</v>
      </c>
      <c r="F23" s="62">
        <f>'Nj-AD+LD'!AE23</f>
        <v>341</v>
      </c>
      <c r="G23" s="63">
        <f>'Nj-AD+LD'!AF23</f>
        <v>3536</v>
      </c>
      <c r="H23" s="62">
        <f>Pa!J23</f>
        <v>15</v>
      </c>
      <c r="I23" s="64">
        <f>Pa!K23</f>
        <v>47</v>
      </c>
      <c r="J23" s="62"/>
      <c r="K23" s="64"/>
      <c r="L23" s="62">
        <f>Le!H23</f>
        <v>1</v>
      </c>
      <c r="M23" s="64">
        <f>Le!I23</f>
        <v>1</v>
      </c>
      <c r="N23" s="62">
        <f>'Hj'!J23</f>
        <v>1</v>
      </c>
      <c r="O23" s="64">
        <f>'Hj'!K23</f>
        <v>1</v>
      </c>
      <c r="P23" s="62"/>
      <c r="Q23" s="64"/>
      <c r="R23" s="62"/>
      <c r="S23" s="64"/>
      <c r="T23" s="62"/>
      <c r="U23" s="65"/>
    </row>
    <row r="24" spans="1:21" s="78" customFormat="1" ht="12.75">
      <c r="A24" s="17">
        <v>1985</v>
      </c>
      <c r="B24" s="62">
        <f>'Don-AD'!P24</f>
        <v>130</v>
      </c>
      <c r="C24" s="63">
        <f>'Don-AD'!Q24</f>
        <v>607</v>
      </c>
      <c r="D24" s="72">
        <f>'Nj-AD+LD'!AI24</f>
        <v>65</v>
      </c>
      <c r="E24" s="64">
        <f>'Nj-AD+LD'!AK24</f>
        <v>749</v>
      </c>
      <c r="F24" s="62">
        <f>'Nj-AD+LD'!AE24</f>
        <v>329</v>
      </c>
      <c r="G24" s="63">
        <f>'Nj-AD+LD'!AF24</f>
        <v>3865</v>
      </c>
      <c r="H24" s="62">
        <f>Pa!J24</f>
        <v>20</v>
      </c>
      <c r="I24" s="64">
        <f>Pa!K24</f>
        <v>67</v>
      </c>
      <c r="J24" s="62"/>
      <c r="K24" s="64"/>
      <c r="L24" s="62">
        <f>Le!H24</f>
        <v>12</v>
      </c>
      <c r="M24" s="64">
        <f>Le!I24</f>
        <v>13</v>
      </c>
      <c r="N24" s="62">
        <f>'Hj'!J24</f>
        <v>4</v>
      </c>
      <c r="O24" s="64">
        <f>'Hj'!K24</f>
        <v>5</v>
      </c>
      <c r="P24" s="62"/>
      <c r="Q24" s="64"/>
      <c r="R24" s="62"/>
      <c r="S24" s="64"/>
      <c r="T24" s="62"/>
      <c r="U24" s="65"/>
    </row>
    <row r="25" spans="1:21" s="78" customFormat="1" ht="12.75">
      <c r="A25" s="17">
        <v>1986</v>
      </c>
      <c r="B25" s="62">
        <f>'Don-AD'!P25</f>
        <v>152</v>
      </c>
      <c r="C25" s="63">
        <f>'Don-AD'!Q25</f>
        <v>759</v>
      </c>
      <c r="D25" s="72">
        <f>'Nj-AD+LD'!AI25</f>
        <v>62</v>
      </c>
      <c r="E25" s="64">
        <f>'Nj-AD+LD'!AK25</f>
        <v>811</v>
      </c>
      <c r="F25" s="62">
        <f>'Nj-AD+LD'!AE25</f>
        <v>349</v>
      </c>
      <c r="G25" s="63">
        <f>'Nj-AD+LD'!AF25</f>
        <v>4214</v>
      </c>
      <c r="H25" s="62">
        <f>Pa!J25</f>
        <v>36</v>
      </c>
      <c r="I25" s="64">
        <f>Pa!K25</f>
        <v>103</v>
      </c>
      <c r="J25" s="62"/>
      <c r="K25" s="64"/>
      <c r="L25" s="62">
        <f>Le!H25</f>
        <v>19</v>
      </c>
      <c r="M25" s="64">
        <f>Le!I25</f>
        <v>32</v>
      </c>
      <c r="N25" s="62">
        <f>'Hj'!J25</f>
        <v>8</v>
      </c>
      <c r="O25" s="64">
        <f>'Hj'!K25</f>
        <v>13</v>
      </c>
      <c r="P25" s="62"/>
      <c r="Q25" s="64"/>
      <c r="R25" s="62"/>
      <c r="S25" s="64"/>
      <c r="T25" s="62"/>
      <c r="U25" s="65"/>
    </row>
    <row r="26" spans="1:21" s="78" customFormat="1" ht="12.75">
      <c r="A26" s="17">
        <v>1987</v>
      </c>
      <c r="B26" s="62">
        <f>'Don-AD'!P26</f>
        <v>147</v>
      </c>
      <c r="C26" s="63">
        <f>'Don-AD'!Q26</f>
        <v>906</v>
      </c>
      <c r="D26" s="72">
        <f>'Nj-AD+LD'!AI26</f>
        <v>87</v>
      </c>
      <c r="E26" s="64">
        <f>'Nj-AD+LD'!AK26</f>
        <v>898</v>
      </c>
      <c r="F26" s="62">
        <f>'Nj-AD+LD'!AE26</f>
        <v>382</v>
      </c>
      <c r="G26" s="63">
        <f>'Nj-AD+LD'!AF26</f>
        <v>4596</v>
      </c>
      <c r="H26" s="62">
        <f>Pa!J26</f>
        <v>44</v>
      </c>
      <c r="I26" s="64">
        <f>Pa!K26</f>
        <v>147</v>
      </c>
      <c r="J26" s="62"/>
      <c r="K26" s="64"/>
      <c r="L26" s="62">
        <f>Le!H26</f>
        <v>26</v>
      </c>
      <c r="M26" s="64">
        <f>Le!I26</f>
        <v>58</v>
      </c>
      <c r="N26" s="62">
        <f>'Hj'!J26</f>
        <v>0</v>
      </c>
      <c r="O26" s="64">
        <f>'Hj'!K26</f>
        <v>13</v>
      </c>
      <c r="P26" s="62"/>
      <c r="Q26" s="64"/>
      <c r="R26" s="62"/>
      <c r="S26" s="64"/>
      <c r="T26" s="62"/>
      <c r="U26" s="65"/>
    </row>
    <row r="27" spans="1:21" s="78" customFormat="1" ht="12.75">
      <c r="A27" s="17">
        <v>1988</v>
      </c>
      <c r="B27" s="62">
        <f>'Don-AD'!P27</f>
        <v>136</v>
      </c>
      <c r="C27" s="63">
        <f>'Don-AD'!Q27</f>
        <v>1042</v>
      </c>
      <c r="D27" s="72">
        <f>'Nj-AD+LD'!AI27</f>
        <v>87</v>
      </c>
      <c r="E27" s="64">
        <f>'Nj-AD+LD'!AK27</f>
        <v>985</v>
      </c>
      <c r="F27" s="62">
        <f>'Nj-AD+LD'!AE27</f>
        <v>355</v>
      </c>
      <c r="G27" s="63">
        <f>'Nj-AD+LD'!AF27</f>
        <v>4951</v>
      </c>
      <c r="H27" s="62">
        <f>Pa!J27</f>
        <v>40</v>
      </c>
      <c r="I27" s="64">
        <f>Pa!K27</f>
        <v>187</v>
      </c>
      <c r="J27" s="62"/>
      <c r="K27" s="64"/>
      <c r="L27" s="62">
        <f>Le!H27</f>
        <v>42</v>
      </c>
      <c r="M27" s="64">
        <f>Le!I27</f>
        <v>100</v>
      </c>
      <c r="N27" s="62">
        <f>'Hj'!J27</f>
        <v>31</v>
      </c>
      <c r="O27" s="64">
        <f>'Hj'!K27</f>
        <v>44</v>
      </c>
      <c r="P27" s="62"/>
      <c r="Q27" s="64"/>
      <c r="R27" s="62"/>
      <c r="S27" s="64"/>
      <c r="T27" s="62"/>
      <c r="U27" s="65"/>
    </row>
    <row r="28" spans="1:21" s="78" customFormat="1" ht="12.75">
      <c r="A28" s="17">
        <v>1989</v>
      </c>
      <c r="B28" s="62">
        <f>'Don-AD'!P28</f>
        <v>152</v>
      </c>
      <c r="C28" s="63">
        <f>'Don-AD'!Q28</f>
        <v>1194</v>
      </c>
      <c r="D28" s="72">
        <f>'Nj-AD+LD'!AI28</f>
        <v>81</v>
      </c>
      <c r="E28" s="64">
        <f>'Nj-AD+LD'!AK28</f>
        <v>1066</v>
      </c>
      <c r="F28" s="62">
        <f>'Nj-AD+LD'!AE28</f>
        <v>371</v>
      </c>
      <c r="G28" s="63">
        <f>'Nj-AD+LD'!AF28</f>
        <v>5322</v>
      </c>
      <c r="H28" s="62">
        <f>Pa!J28</f>
        <v>29</v>
      </c>
      <c r="I28" s="64">
        <f>Pa!K28</f>
        <v>216</v>
      </c>
      <c r="J28" s="62"/>
      <c r="K28" s="64"/>
      <c r="L28" s="62">
        <f>Le!H28</f>
        <v>39</v>
      </c>
      <c r="M28" s="64">
        <f>Le!I28</f>
        <v>139</v>
      </c>
      <c r="N28" s="62">
        <f>'Hj'!J28</f>
        <v>31</v>
      </c>
      <c r="O28" s="64">
        <f>'Hj'!K28</f>
        <v>75</v>
      </c>
      <c r="P28" s="62"/>
      <c r="Q28" s="64"/>
      <c r="R28" s="62"/>
      <c r="S28" s="64"/>
      <c r="T28" s="62"/>
      <c r="U28" s="65"/>
    </row>
    <row r="29" spans="1:21" s="78" customFormat="1" ht="12.75">
      <c r="A29" s="17">
        <v>1990</v>
      </c>
      <c r="B29" s="62">
        <f>'Don-AD'!P29</f>
        <v>128</v>
      </c>
      <c r="C29" s="63">
        <f>'Don-AD'!Q29</f>
        <v>1322</v>
      </c>
      <c r="D29" s="72">
        <f>'Nj-AD+LD'!AI29</f>
        <v>78</v>
      </c>
      <c r="E29" s="64">
        <f>'Nj-AD+LD'!AK29</f>
        <v>1144</v>
      </c>
      <c r="F29" s="62">
        <f>'Nj-AD+LD'!AE29</f>
        <v>331</v>
      </c>
      <c r="G29" s="63">
        <f>'Nj-AD+LD'!AF29</f>
        <v>5653</v>
      </c>
      <c r="H29" s="62">
        <f>Pa!J29</f>
        <v>29</v>
      </c>
      <c r="I29" s="64">
        <f>Pa!K29</f>
        <v>245</v>
      </c>
      <c r="J29" s="62"/>
      <c r="K29" s="64"/>
      <c r="L29" s="62">
        <f>Le!H29</f>
        <v>48</v>
      </c>
      <c r="M29" s="64">
        <f>Le!I29</f>
        <v>187</v>
      </c>
      <c r="N29" s="62">
        <f>'Hj'!J29</f>
        <v>27</v>
      </c>
      <c r="O29" s="64">
        <f>'Hj'!K29</f>
        <v>102</v>
      </c>
      <c r="P29" s="62">
        <f>Lu!F29</f>
        <v>2</v>
      </c>
      <c r="Q29" s="64">
        <f>Lu!G29</f>
        <v>2</v>
      </c>
      <c r="R29" s="62">
        <f>'Hj-Lu'!F29</f>
        <v>1</v>
      </c>
      <c r="S29" s="64">
        <f>'Hj-Lu'!G29</f>
        <v>1</v>
      </c>
      <c r="T29" s="62">
        <f>Tarm!H29</f>
        <v>3</v>
      </c>
      <c r="U29" s="65">
        <f>Tarm!I29</f>
        <v>3</v>
      </c>
    </row>
    <row r="30" spans="1:21" s="78" customFormat="1" ht="12.75">
      <c r="A30" s="17">
        <v>1991</v>
      </c>
      <c r="B30" s="62">
        <f>'Don-AD'!P30</f>
        <v>137</v>
      </c>
      <c r="C30" s="63">
        <f>'Don-AD'!Q30</f>
        <v>1459</v>
      </c>
      <c r="D30" s="72">
        <f>'Nj-AD+LD'!AI30</f>
        <v>81</v>
      </c>
      <c r="E30" s="64">
        <f>'Nj-AD+LD'!AK30</f>
        <v>1225</v>
      </c>
      <c r="F30" s="62">
        <f>'Nj-AD+LD'!AE30</f>
        <v>358</v>
      </c>
      <c r="G30" s="63">
        <f>'Nj-AD+LD'!AF30</f>
        <v>6011</v>
      </c>
      <c r="H30" s="62">
        <f>Pa!J30</f>
        <v>27</v>
      </c>
      <c r="I30" s="64">
        <f>Pa!K30</f>
        <v>272</v>
      </c>
      <c r="J30" s="62"/>
      <c r="K30" s="64"/>
      <c r="L30" s="62">
        <f>Le!H30</f>
        <v>62</v>
      </c>
      <c r="M30" s="64">
        <f>Le!I30</f>
        <v>249</v>
      </c>
      <c r="N30" s="62">
        <f>'Hj'!J30</f>
        <v>30</v>
      </c>
      <c r="O30" s="64">
        <f>'Hj'!K30</f>
        <v>132</v>
      </c>
      <c r="P30" s="62">
        <f>Lu!F30</f>
        <v>8</v>
      </c>
      <c r="Q30" s="64">
        <f>Lu!G30</f>
        <v>10</v>
      </c>
      <c r="R30" s="62">
        <f>'Hj-Lu'!F30</f>
        <v>1</v>
      </c>
      <c r="S30" s="64">
        <f>'Hj-Lu'!G30</f>
        <v>2</v>
      </c>
      <c r="T30" s="62"/>
      <c r="U30" s="65">
        <f>Tarm!I30</f>
        <v>3</v>
      </c>
    </row>
    <row r="31" spans="1:21" s="78" customFormat="1" ht="12.75">
      <c r="A31" s="17">
        <v>1992</v>
      </c>
      <c r="B31" s="62">
        <f>'Don-AD'!P31</f>
        <v>125</v>
      </c>
      <c r="C31" s="63">
        <f>'Don-AD'!Q31</f>
        <v>1584</v>
      </c>
      <c r="D31" s="72">
        <f>'Nj-AD+LD'!AI31</f>
        <v>88</v>
      </c>
      <c r="E31" s="64">
        <f>'Nj-AD+LD'!AK31</f>
        <v>1313</v>
      </c>
      <c r="F31" s="62">
        <f>'Nj-AD+LD'!AE31</f>
        <v>317</v>
      </c>
      <c r="G31" s="63">
        <f>'Nj-AD+LD'!AF31</f>
        <v>6328</v>
      </c>
      <c r="H31" s="62">
        <f>Pa!J31</f>
        <v>19</v>
      </c>
      <c r="I31" s="64">
        <f>Pa!K31</f>
        <v>291</v>
      </c>
      <c r="J31" s="62"/>
      <c r="K31" s="64"/>
      <c r="L31" s="62">
        <f>Le!H31</f>
        <v>69</v>
      </c>
      <c r="M31" s="64">
        <f>Le!I31</f>
        <v>318</v>
      </c>
      <c r="N31" s="62">
        <f>'Hj'!J31</f>
        <v>28</v>
      </c>
      <c r="O31" s="64">
        <f>'Hj'!K31</f>
        <v>160</v>
      </c>
      <c r="P31" s="62">
        <f>Lu!F31</f>
        <v>22</v>
      </c>
      <c r="Q31" s="64">
        <f>Lu!G31</f>
        <v>32</v>
      </c>
      <c r="R31" s="62">
        <f>'Hj-Lu'!F31</f>
        <v>6</v>
      </c>
      <c r="S31" s="64">
        <f>'Hj-Lu'!G31</f>
        <v>8</v>
      </c>
      <c r="T31" s="62"/>
      <c r="U31" s="65">
        <f>Tarm!I31</f>
        <v>3</v>
      </c>
    </row>
    <row r="32" spans="1:21" s="78" customFormat="1" ht="12.75">
      <c r="A32" s="17">
        <v>1993</v>
      </c>
      <c r="B32" s="62">
        <f>'Don-AD'!P32</f>
        <v>124</v>
      </c>
      <c r="C32" s="63">
        <f>'Don-AD'!Q32</f>
        <v>1708</v>
      </c>
      <c r="D32" s="72">
        <f>'Nj-AD+LD'!AI32</f>
        <v>103</v>
      </c>
      <c r="E32" s="64">
        <f>'Nj-AD+LD'!AK32</f>
        <v>1416</v>
      </c>
      <c r="F32" s="62">
        <f>'Nj-AD+LD'!AE32</f>
        <v>353</v>
      </c>
      <c r="G32" s="63">
        <f>'Nj-AD+LD'!AF32</f>
        <v>6681</v>
      </c>
      <c r="H32" s="62">
        <f>Pa!J32</f>
        <v>19</v>
      </c>
      <c r="I32" s="64">
        <f>Pa!K32</f>
        <v>310</v>
      </c>
      <c r="J32" s="62"/>
      <c r="K32" s="64"/>
      <c r="L32" s="62">
        <f>Le!H32</f>
        <v>82</v>
      </c>
      <c r="M32" s="64">
        <f>Le!I32</f>
        <v>400</v>
      </c>
      <c r="N32" s="62">
        <f>'Hj'!J32</f>
        <v>34</v>
      </c>
      <c r="O32" s="64">
        <f>'Hj'!K32</f>
        <v>194</v>
      </c>
      <c r="P32" s="62">
        <f>Lu!F32</f>
        <v>19</v>
      </c>
      <c r="Q32" s="64">
        <f>Lu!G32</f>
        <v>51</v>
      </c>
      <c r="R32" s="62">
        <f>'Hj-Lu'!F32</f>
        <v>10</v>
      </c>
      <c r="S32" s="64">
        <f>'Hj-Lu'!G32</f>
        <v>18</v>
      </c>
      <c r="T32" s="62"/>
      <c r="U32" s="65">
        <f>Tarm!I32</f>
        <v>3</v>
      </c>
    </row>
    <row r="33" spans="1:21" s="78" customFormat="1" ht="12.75">
      <c r="A33" s="17">
        <v>1994</v>
      </c>
      <c r="B33" s="62">
        <f>'Don-AD'!P33</f>
        <v>108</v>
      </c>
      <c r="C33" s="63">
        <f>'Don-AD'!Q33</f>
        <v>1816</v>
      </c>
      <c r="D33" s="72">
        <f>'Nj-AD+LD'!AI33</f>
        <v>90</v>
      </c>
      <c r="E33" s="64">
        <f>'Nj-AD+LD'!AK33</f>
        <v>1506</v>
      </c>
      <c r="F33" s="62">
        <f>'Nj-AD+LD'!AE33</f>
        <v>322</v>
      </c>
      <c r="G33" s="63">
        <f>'Nj-AD+LD'!AF33</f>
        <v>7003</v>
      </c>
      <c r="H33" s="62">
        <f>Pa!J33</f>
        <v>10</v>
      </c>
      <c r="I33" s="148">
        <f>Pa!K33</f>
        <v>320</v>
      </c>
      <c r="J33" s="62"/>
      <c r="K33" s="64"/>
      <c r="L33" s="62">
        <f>Le!H33</f>
        <v>77</v>
      </c>
      <c r="M33" s="64">
        <f>Le!I33</f>
        <v>477</v>
      </c>
      <c r="N33" s="62">
        <f>'Hj'!J33</f>
        <v>39</v>
      </c>
      <c r="O33" s="64">
        <f>'Hj'!K33</f>
        <v>233</v>
      </c>
      <c r="P33" s="62">
        <f>Lu!F33</f>
        <v>27</v>
      </c>
      <c r="Q33" s="64">
        <f>Lu!G33</f>
        <v>78</v>
      </c>
      <c r="R33" s="62">
        <f>'Hj-Lu'!F33</f>
        <v>5</v>
      </c>
      <c r="S33" s="64">
        <f>'Hj-Lu'!G33</f>
        <v>23</v>
      </c>
      <c r="T33" s="62"/>
      <c r="U33" s="65">
        <f>Tarm!I33</f>
        <v>3</v>
      </c>
    </row>
    <row r="34" spans="1:21" s="78" customFormat="1" ht="12.75">
      <c r="A34" s="17">
        <v>1995</v>
      </c>
      <c r="B34" s="62">
        <f>'Don-AD'!P34</f>
        <v>104</v>
      </c>
      <c r="C34" s="63">
        <f>'Don-AD'!Q34</f>
        <v>1920</v>
      </c>
      <c r="D34" s="72">
        <f>'Nj-AD+LD'!AI34</f>
        <v>80</v>
      </c>
      <c r="E34" s="64">
        <f>'Nj-AD+LD'!AK34</f>
        <v>1586</v>
      </c>
      <c r="F34" s="62">
        <f>'Nj-AD+LD'!AE34</f>
        <v>283</v>
      </c>
      <c r="G34" s="63">
        <f>'Nj-AD+LD'!AF34</f>
        <v>7286</v>
      </c>
      <c r="H34" s="62">
        <f>Pa!J34</f>
        <v>15</v>
      </c>
      <c r="I34" s="64">
        <f>Pa!K34</f>
        <v>335</v>
      </c>
      <c r="J34" s="62"/>
      <c r="K34" s="64"/>
      <c r="L34" s="62">
        <f>Le!H34</f>
        <v>87</v>
      </c>
      <c r="M34" s="64">
        <f>Le!I34</f>
        <v>564</v>
      </c>
      <c r="N34" s="62">
        <f>'Hj'!J34</f>
        <v>26</v>
      </c>
      <c r="O34" s="64">
        <f>'Hj'!K34</f>
        <v>259</v>
      </c>
      <c r="P34" s="62">
        <f>Lu!F34</f>
        <v>19</v>
      </c>
      <c r="Q34" s="64">
        <f>Lu!G34</f>
        <v>97</v>
      </c>
      <c r="R34" s="62">
        <f>'Hj-Lu'!F34</f>
        <v>3</v>
      </c>
      <c r="S34" s="64">
        <f>'Hj-Lu'!G34</f>
        <v>26</v>
      </c>
      <c r="T34" s="62"/>
      <c r="U34" s="65">
        <f>Tarm!I34</f>
        <v>3</v>
      </c>
    </row>
    <row r="35" spans="1:21" s="78" customFormat="1" ht="12.75">
      <c r="A35" s="17">
        <v>1996</v>
      </c>
      <c r="B35" s="62">
        <f>'Don-AD'!P35</f>
        <v>99</v>
      </c>
      <c r="C35" s="63">
        <f>'Don-AD'!Q35</f>
        <v>2019</v>
      </c>
      <c r="D35" s="143">
        <f>'Nj-AD+LD'!AI35</f>
        <v>99</v>
      </c>
      <c r="E35" s="63">
        <f>'Nj-AD+LD'!AK35</f>
        <v>1685</v>
      </c>
      <c r="F35" s="62">
        <f>'Nj-AD+LD'!AE35</f>
        <v>308</v>
      </c>
      <c r="G35" s="63">
        <f>'Nj-AD+LD'!AF35</f>
        <v>7594</v>
      </c>
      <c r="H35" s="62">
        <f>Pa!J35</f>
        <v>7</v>
      </c>
      <c r="I35" s="64">
        <f>Pa!K35</f>
        <v>342</v>
      </c>
      <c r="J35" s="62">
        <f>'P-öar'!J35</f>
        <v>3</v>
      </c>
      <c r="K35" s="64">
        <f>'P-öar'!K35</f>
        <v>3</v>
      </c>
      <c r="L35" s="62">
        <f>Le!H35</f>
        <v>75</v>
      </c>
      <c r="M35" s="64">
        <f>Le!I35</f>
        <v>639</v>
      </c>
      <c r="N35" s="62">
        <f>'Hj'!J35</f>
        <v>24</v>
      </c>
      <c r="O35" s="64">
        <f>'Hj'!K35</f>
        <v>283</v>
      </c>
      <c r="P35" s="62">
        <f>Lu!F35</f>
        <v>23</v>
      </c>
      <c r="Q35" s="64">
        <f>Lu!G35</f>
        <v>120</v>
      </c>
      <c r="R35" s="62">
        <f>'Hj-Lu'!F35</f>
        <v>2</v>
      </c>
      <c r="S35" s="64">
        <f>'Hj-Lu'!G35</f>
        <v>28</v>
      </c>
      <c r="T35" s="62"/>
      <c r="U35" s="65">
        <f>Tarm!I35</f>
        <v>3</v>
      </c>
    </row>
    <row r="36" spans="1:21" s="78" customFormat="1" ht="12.75">
      <c r="A36" s="17">
        <v>1997</v>
      </c>
      <c r="B36" s="62">
        <f>'Don-AD'!P36</f>
        <v>112</v>
      </c>
      <c r="C36" s="63">
        <f>'Don-AD'!Q36</f>
        <v>2131</v>
      </c>
      <c r="D36" s="72">
        <f>'Nj-AD+LD'!AI36</f>
        <v>123</v>
      </c>
      <c r="E36" s="63">
        <f>'Nj-AD+LD'!AK36</f>
        <v>1808</v>
      </c>
      <c r="F36" s="62">
        <f>'Nj-AD+LD'!AE36</f>
        <v>336</v>
      </c>
      <c r="G36" s="63">
        <f>'Nj-AD+LD'!AF36</f>
        <v>7930</v>
      </c>
      <c r="H36" s="62">
        <f>Pa!J36</f>
        <v>9</v>
      </c>
      <c r="I36" s="64">
        <f>Pa!K36</f>
        <v>351</v>
      </c>
      <c r="J36" s="62">
        <f>'P-öar'!J36</f>
        <v>1</v>
      </c>
      <c r="K36" s="64">
        <f>'P-öar'!K36</f>
        <v>4</v>
      </c>
      <c r="L36" s="62">
        <f>Le!H36</f>
        <v>92</v>
      </c>
      <c r="M36" s="64">
        <f>Le!I36</f>
        <v>731</v>
      </c>
      <c r="N36" s="62">
        <f>'Hj'!J36</f>
        <v>32</v>
      </c>
      <c r="O36" s="64">
        <f>'Hj'!K36</f>
        <v>315</v>
      </c>
      <c r="P36" s="62">
        <f>Lu!F36</f>
        <v>17</v>
      </c>
      <c r="Q36" s="64">
        <f>Lu!G36</f>
        <v>137</v>
      </c>
      <c r="R36" s="62">
        <f>'Hj-Lu'!F36</f>
        <v>4</v>
      </c>
      <c r="S36" s="64">
        <f>'Hj-Lu'!G36</f>
        <v>32</v>
      </c>
      <c r="T36" s="62">
        <f>Tarm!H36</f>
        <v>1</v>
      </c>
      <c r="U36" s="65">
        <f>Tarm!I36</f>
        <v>4</v>
      </c>
    </row>
    <row r="37" spans="1:21" s="78" customFormat="1" ht="12.75">
      <c r="A37" s="17">
        <v>1998</v>
      </c>
      <c r="B37" s="62">
        <f>'Don-AD'!P37</f>
        <v>129</v>
      </c>
      <c r="C37" s="63">
        <f>'Don-AD'!Q37</f>
        <v>2260</v>
      </c>
      <c r="D37" s="72">
        <f>'Nj-AD+LD'!AI37</f>
        <v>120</v>
      </c>
      <c r="E37" s="63">
        <f>'Nj-AD+LD'!AK37</f>
        <v>1928</v>
      </c>
      <c r="F37" s="62">
        <f>'Nj-AD+LD'!AE37</f>
        <v>357</v>
      </c>
      <c r="G37" s="63">
        <f>'Nj-AD+LD'!AF37</f>
        <v>8287</v>
      </c>
      <c r="H37" s="62">
        <f>Pa!J37</f>
        <v>10</v>
      </c>
      <c r="I37" s="64">
        <f>Pa!K37</f>
        <v>361</v>
      </c>
      <c r="J37" s="62">
        <f>'P-öar'!J37</f>
        <v>1</v>
      </c>
      <c r="K37" s="64">
        <f>'P-öar'!K37</f>
        <v>5</v>
      </c>
      <c r="L37" s="62">
        <f>Le!H37</f>
        <v>105</v>
      </c>
      <c r="M37" s="64">
        <f>Le!I37</f>
        <v>836</v>
      </c>
      <c r="N37" s="62">
        <f>'Hj'!J37</f>
        <v>36</v>
      </c>
      <c r="O37" s="64">
        <f>'Hj'!K37</f>
        <v>351</v>
      </c>
      <c r="P37" s="62">
        <f>Lu!F37</f>
        <v>33</v>
      </c>
      <c r="Q37" s="64">
        <f>Lu!G37</f>
        <v>170</v>
      </c>
      <c r="R37" s="62"/>
      <c r="S37" s="64">
        <f>'Hj-Lu'!G37</f>
        <v>32</v>
      </c>
      <c r="T37" s="62">
        <f>Tarm!H37</f>
        <v>1</v>
      </c>
      <c r="U37" s="65">
        <f>Tarm!I37</f>
        <v>5</v>
      </c>
    </row>
    <row r="38" spans="1:21" s="81" customFormat="1" ht="12.75">
      <c r="A38" s="18">
        <v>1999</v>
      </c>
      <c r="B38" s="66">
        <f>'Don-AD'!P38</f>
        <v>108</v>
      </c>
      <c r="C38" s="67">
        <f>'Don-AD'!Q38</f>
        <v>2368</v>
      </c>
      <c r="D38" s="92">
        <f>'Nj-AD+LD'!AI38</f>
        <v>105</v>
      </c>
      <c r="E38" s="67">
        <f>'Nj-AD+LD'!AK38</f>
        <v>2033</v>
      </c>
      <c r="F38" s="66">
        <f>'Nj-AD+LD'!AE38</f>
        <v>301</v>
      </c>
      <c r="G38" s="67">
        <f>'Nj-AD+LD'!AF38</f>
        <v>8588</v>
      </c>
      <c r="H38" s="66">
        <f>Pa!J38</f>
        <v>7</v>
      </c>
      <c r="I38" s="68">
        <f>Pa!K38</f>
        <v>368</v>
      </c>
      <c r="J38" s="66">
        <f>'P-öar'!J38</f>
        <v>2</v>
      </c>
      <c r="K38" s="68">
        <f>'P-öar'!K38</f>
        <v>7</v>
      </c>
      <c r="L38" s="66">
        <f>Le!H38</f>
        <v>93</v>
      </c>
      <c r="M38" s="68">
        <f>Le!I38</f>
        <v>929</v>
      </c>
      <c r="N38" s="66">
        <f>'Hj'!J38</f>
        <v>34</v>
      </c>
      <c r="O38" s="68">
        <f>'Hj'!K38</f>
        <v>385</v>
      </c>
      <c r="P38" s="66">
        <f>Lu!F38</f>
        <v>26</v>
      </c>
      <c r="Q38" s="68">
        <f>Lu!G38</f>
        <v>196</v>
      </c>
      <c r="R38" s="66">
        <f>'Hj-Lu'!F38</f>
        <v>3</v>
      </c>
      <c r="S38" s="68">
        <f>'Hj-Lu'!G38</f>
        <v>35</v>
      </c>
      <c r="T38" s="66"/>
      <c r="U38" s="69">
        <f>Tarm!I38</f>
        <v>5</v>
      </c>
    </row>
    <row r="39" spans="1:21" s="81" customFormat="1" ht="18.75" customHeight="1">
      <c r="A39" s="17">
        <v>2000</v>
      </c>
      <c r="B39" s="62">
        <f>'Don-AD'!P39</f>
        <v>97</v>
      </c>
      <c r="C39" s="63">
        <f>'Don-AD'!Q39</f>
        <v>2465</v>
      </c>
      <c r="D39" s="72">
        <f>'Nj-AD+LD'!AI39</f>
        <v>90</v>
      </c>
      <c r="E39" s="63">
        <f>'Nj-AD+LD'!AK39</f>
        <v>2123</v>
      </c>
      <c r="F39" s="62">
        <f>'Nj-AD+LD'!AE39</f>
        <v>283</v>
      </c>
      <c r="G39" s="63">
        <f>'Nj-AD+LD'!AF39</f>
        <v>8871</v>
      </c>
      <c r="H39" s="62">
        <f>Pa!J39</f>
        <v>9</v>
      </c>
      <c r="I39" s="64">
        <f>Pa!K39</f>
        <v>377</v>
      </c>
      <c r="J39" s="62">
        <f>'P-öar'!J39</f>
        <v>0</v>
      </c>
      <c r="K39" s="64">
        <f>'P-öar'!K39</f>
        <v>7</v>
      </c>
      <c r="L39" s="62">
        <f>Le!H39</f>
        <v>106</v>
      </c>
      <c r="M39" s="64">
        <f>Le!I39</f>
        <v>1035</v>
      </c>
      <c r="N39" s="62">
        <f>'Hj'!J39</f>
        <v>20</v>
      </c>
      <c r="O39" s="64">
        <f>'Hj'!K39</f>
        <v>405</v>
      </c>
      <c r="P39" s="62">
        <f>Lu!F39</f>
        <v>29</v>
      </c>
      <c r="Q39" s="64">
        <f>Lu!G39</f>
        <v>225</v>
      </c>
      <c r="R39" s="62">
        <f>'Hj-Lu'!F39</f>
        <v>2</v>
      </c>
      <c r="S39" s="64">
        <f>'Hj-Lu'!G39</f>
        <v>37</v>
      </c>
      <c r="T39" s="62">
        <f>Tarm!H39</f>
        <v>2</v>
      </c>
      <c r="U39" s="65">
        <f>Tarm!I39</f>
        <v>7</v>
      </c>
    </row>
    <row r="40" spans="1:21" s="78" customFormat="1" ht="12.75">
      <c r="A40" s="17">
        <v>2001</v>
      </c>
      <c r="B40" s="62">
        <f>'Don-AD'!P40</f>
        <v>108</v>
      </c>
      <c r="C40" s="63">
        <f>'Don-AD'!Q40</f>
        <v>2573</v>
      </c>
      <c r="D40" s="72">
        <f>'Nj-AD+LD'!AI40</f>
        <v>118</v>
      </c>
      <c r="E40" s="63">
        <f>'Nj-AD+LD'!AK40</f>
        <v>2241</v>
      </c>
      <c r="F40" s="62">
        <f>'Nj-AD+LD'!AE40</f>
        <v>305</v>
      </c>
      <c r="G40" s="63">
        <f>'Nj-AD+LD'!AF40</f>
        <v>9176</v>
      </c>
      <c r="H40" s="62">
        <f>Pa!J40</f>
        <v>10</v>
      </c>
      <c r="I40" s="64">
        <f>Pa!K40</f>
        <v>387</v>
      </c>
      <c r="J40" s="62">
        <f>'P-öar'!J40</f>
        <v>2</v>
      </c>
      <c r="K40" s="64">
        <f>'P-öar'!K40</f>
        <v>9</v>
      </c>
      <c r="L40" s="62">
        <f>Le!H40</f>
        <v>102</v>
      </c>
      <c r="M40" s="64">
        <f>Le!I40</f>
        <v>1137</v>
      </c>
      <c r="N40" s="62">
        <f>'Hj'!J40</f>
        <v>25</v>
      </c>
      <c r="O40" s="64">
        <f>'Hj'!K40</f>
        <v>430</v>
      </c>
      <c r="P40" s="62">
        <f>Lu!F40</f>
        <v>20</v>
      </c>
      <c r="Q40" s="64">
        <f>Lu!G40</f>
        <v>245</v>
      </c>
      <c r="R40" s="62">
        <f>'Hj-Lu'!F40</f>
        <v>1</v>
      </c>
      <c r="S40" s="64">
        <f>'Hj-Lu'!G40</f>
        <v>38</v>
      </c>
      <c r="T40" s="62">
        <f>Tarm!H40</f>
        <v>1</v>
      </c>
      <c r="U40" s="65">
        <f>Tarm!I40</f>
        <v>8</v>
      </c>
    </row>
    <row r="41" spans="1:21" s="78" customFormat="1" ht="12.75">
      <c r="A41" s="17">
        <v>2002</v>
      </c>
      <c r="B41" s="62">
        <f>'Don-AD'!P41</f>
        <v>98</v>
      </c>
      <c r="C41" s="63">
        <f>'Don-AD'!Q41</f>
        <v>2671</v>
      </c>
      <c r="D41" s="72">
        <f>'Nj-AD+LD'!AI41</f>
        <v>114</v>
      </c>
      <c r="E41" s="63">
        <f>'Nj-AD+LD'!AK41</f>
        <v>2355</v>
      </c>
      <c r="F41" s="62">
        <f>'Nj-AD+LD'!AE41</f>
        <v>308</v>
      </c>
      <c r="G41" s="63">
        <f>'Nj-AD+LD'!AF41</f>
        <v>9484</v>
      </c>
      <c r="H41" s="62">
        <f>Pa!J41</f>
        <v>9</v>
      </c>
      <c r="I41" s="64">
        <f>Pa!K41</f>
        <v>396</v>
      </c>
      <c r="J41" s="62">
        <f>'P-öar'!J41</f>
        <v>5</v>
      </c>
      <c r="K41" s="64">
        <f>'P-öar'!K41</f>
        <v>14</v>
      </c>
      <c r="L41" s="62">
        <f>Le!H41</f>
        <v>102</v>
      </c>
      <c r="M41" s="64">
        <f>Le!I41</f>
        <v>1239</v>
      </c>
      <c r="N41" s="62">
        <f>'Hj'!J41</f>
        <v>19</v>
      </c>
      <c r="O41" s="64">
        <f>'Hj'!K41</f>
        <v>449</v>
      </c>
      <c r="P41" s="62">
        <f>Lu!F41</f>
        <v>50</v>
      </c>
      <c r="Q41" s="64">
        <f>Lu!G41</f>
        <v>295</v>
      </c>
      <c r="R41" s="62">
        <f>'Hj-Lu'!F41</f>
        <v>1</v>
      </c>
      <c r="S41" s="64">
        <f>'Hj-Lu'!G41</f>
        <v>39</v>
      </c>
      <c r="T41" s="62">
        <f>Tarm!H41</f>
        <v>3</v>
      </c>
      <c r="U41" s="65">
        <f>Tarm!I41</f>
        <v>11</v>
      </c>
    </row>
    <row r="42" spans="1:21" s="78" customFormat="1" ht="12.75">
      <c r="A42" s="17">
        <v>2003</v>
      </c>
      <c r="B42" s="62">
        <f>'Don-AD'!P42</f>
        <v>114</v>
      </c>
      <c r="C42" s="63">
        <f>'Don-AD'!Q42</f>
        <v>2785</v>
      </c>
      <c r="D42" s="72">
        <f>'Nj-AD+LD'!AI42</f>
        <v>130</v>
      </c>
      <c r="E42" s="63">
        <f>'Nj-AD+LD'!AK42</f>
        <v>2485</v>
      </c>
      <c r="F42" s="62">
        <f>'Nj-AD+LD'!AE42</f>
        <v>345</v>
      </c>
      <c r="G42" s="63">
        <f>'Nj-AD+LD'!AF42</f>
        <v>9829</v>
      </c>
      <c r="H42" s="62">
        <f>Pa!J42</f>
        <v>10</v>
      </c>
      <c r="I42" s="64">
        <f>Pa!K42</f>
        <v>406</v>
      </c>
      <c r="J42" s="62">
        <f>'P-öar'!J42</f>
        <v>7</v>
      </c>
      <c r="K42" s="64">
        <f>'P-öar'!K42</f>
        <v>21</v>
      </c>
      <c r="L42" s="62">
        <f>Le!H42</f>
        <v>127</v>
      </c>
      <c r="M42" s="64">
        <f>Le!I42</f>
        <v>1366</v>
      </c>
      <c r="N42" s="62">
        <f>'Hj'!J42</f>
        <v>36</v>
      </c>
      <c r="O42" s="64">
        <f>'Hj'!K42</f>
        <v>485</v>
      </c>
      <c r="P42" s="62">
        <f>Lu!F42</f>
        <v>25</v>
      </c>
      <c r="Q42" s="64">
        <f>Lu!G42</f>
        <v>320</v>
      </c>
      <c r="R42" s="62">
        <f>'Hj-Lu'!F42</f>
        <v>2</v>
      </c>
      <c r="S42" s="64">
        <f>'Hj-Lu'!G42</f>
        <v>41</v>
      </c>
      <c r="T42" s="62">
        <f>Tarm!H42</f>
        <v>1</v>
      </c>
      <c r="U42" s="65">
        <f>Tarm!I42</f>
        <v>12</v>
      </c>
    </row>
    <row r="43" spans="1:21" s="78" customFormat="1" ht="12.75">
      <c r="A43" s="17">
        <v>2004</v>
      </c>
      <c r="B43" s="62">
        <f>'Don-AD'!P43</f>
        <v>123</v>
      </c>
      <c r="C43" s="63">
        <f>'Don-AD'!Q43</f>
        <v>2908</v>
      </c>
      <c r="D43" s="72">
        <f>'Nj-AD+LD'!AI43</f>
        <v>142</v>
      </c>
      <c r="E43" s="63">
        <f>'Nj-AD+LD'!AK43</f>
        <v>2627</v>
      </c>
      <c r="F43" s="62">
        <f>'Nj-AD+LD'!AE43</f>
        <v>372</v>
      </c>
      <c r="G43" s="141">
        <f>'Nj-AD+LD'!AF43</f>
        <v>10201</v>
      </c>
      <c r="H43" s="62">
        <f>Pa!J43</f>
        <v>8</v>
      </c>
      <c r="I43" s="64">
        <f>Pa!K43</f>
        <v>414</v>
      </c>
      <c r="J43" s="62">
        <f>'P-öar'!J43</f>
        <v>9</v>
      </c>
      <c r="K43" s="64">
        <f>'P-öar'!K43</f>
        <v>30</v>
      </c>
      <c r="L43" s="62">
        <f>Le!H43</f>
        <v>133</v>
      </c>
      <c r="M43" s="64">
        <f>Le!I43</f>
        <v>1499</v>
      </c>
      <c r="N43" s="62">
        <f>'Hj'!J43</f>
        <v>31</v>
      </c>
      <c r="O43" s="64">
        <f>'Hj'!K43</f>
        <v>516</v>
      </c>
      <c r="P43" s="62">
        <f>Lu!F43</f>
        <v>26</v>
      </c>
      <c r="Q43" s="64">
        <f>Lu!G43</f>
        <v>346</v>
      </c>
      <c r="R43" s="62">
        <f>'Hj-Lu'!F43</f>
        <v>0</v>
      </c>
      <c r="S43" s="64">
        <f>'Hj-Lu'!G43</f>
        <v>41</v>
      </c>
      <c r="T43" s="62">
        <f>Tarm!H43</f>
        <v>2</v>
      </c>
      <c r="U43" s="65">
        <f>Tarm!I43</f>
        <v>14</v>
      </c>
    </row>
    <row r="44" spans="1:21" s="78" customFormat="1" ht="12.75">
      <c r="A44" s="17">
        <v>2005</v>
      </c>
      <c r="B44" s="62">
        <f>'Don-AD'!P44</f>
        <v>128</v>
      </c>
      <c r="C44" s="63">
        <f>'Don-AD'!Q44</f>
        <v>3036</v>
      </c>
      <c r="D44" s="72">
        <f>'Nj-AD+LD'!AI44</f>
        <v>172</v>
      </c>
      <c r="E44" s="63">
        <f>'Nj-AD+LD'!AK44</f>
        <v>2799</v>
      </c>
      <c r="F44" s="62">
        <f>'Nj-AD+LD'!AE44</f>
        <v>391</v>
      </c>
      <c r="G44" s="141">
        <f>'Nj-AD+LD'!AF44</f>
        <v>10592</v>
      </c>
      <c r="H44" s="62">
        <f>Pa!J44</f>
        <v>7</v>
      </c>
      <c r="I44" s="64">
        <f>Pa!K44</f>
        <v>421</v>
      </c>
      <c r="J44" s="62">
        <f>'P-öar'!J44</f>
        <v>2</v>
      </c>
      <c r="K44" s="64">
        <f>'P-öar'!K44</f>
        <v>32</v>
      </c>
      <c r="L44" s="62">
        <f>Le!H44</f>
        <v>135</v>
      </c>
      <c r="M44" s="64">
        <f>Le!I44</f>
        <v>1634</v>
      </c>
      <c r="N44" s="62">
        <f>'Hj'!J44</f>
        <v>30</v>
      </c>
      <c r="O44" s="64">
        <f>'Hj'!K44</f>
        <v>546</v>
      </c>
      <c r="P44" s="62">
        <f>Lu!F44</f>
        <v>37</v>
      </c>
      <c r="Q44" s="64">
        <f>Lu!G44</f>
        <v>383</v>
      </c>
      <c r="R44" s="62">
        <f>'Hj-Lu'!F44</f>
        <v>0</v>
      </c>
      <c r="S44" s="64">
        <f>'Hj-Lu'!G44</f>
        <v>41</v>
      </c>
      <c r="T44" s="62">
        <f>Tarm!H44</f>
        <v>1</v>
      </c>
      <c r="U44" s="65">
        <f>Tarm!I44</f>
        <v>15</v>
      </c>
    </row>
    <row r="45" spans="1:21" s="78" customFormat="1" ht="12.75">
      <c r="A45" s="17">
        <v>2006</v>
      </c>
      <c r="B45" s="62">
        <f>'Don-AD'!P45</f>
        <v>137</v>
      </c>
      <c r="C45" s="63">
        <f>'Don-AD'!Q45</f>
        <v>3173</v>
      </c>
      <c r="D45" s="72">
        <f>'Nj-AD+LD'!AI45</f>
        <v>131</v>
      </c>
      <c r="E45" s="63">
        <f>'Nj-AD+LD'!AK45</f>
        <v>2930</v>
      </c>
      <c r="F45" s="62">
        <f>'Nj-AD+LD'!AE45</f>
        <v>365</v>
      </c>
      <c r="G45" s="141">
        <f>'Nj-AD+LD'!AF45</f>
        <v>10957</v>
      </c>
      <c r="H45" s="62">
        <f>Pa!J45</f>
        <v>6</v>
      </c>
      <c r="I45" s="64">
        <f>Pa!K45</f>
        <v>427</v>
      </c>
      <c r="J45" s="62">
        <f>'P-öar'!J45</f>
        <v>6</v>
      </c>
      <c r="K45" s="64">
        <f>'P-öar'!K45</f>
        <v>38</v>
      </c>
      <c r="L45" s="62">
        <f>Le!H45</f>
        <v>127</v>
      </c>
      <c r="M45" s="64">
        <f>Le!I45</f>
        <v>1761</v>
      </c>
      <c r="N45" s="62">
        <f>'Hj'!J45</f>
        <v>40</v>
      </c>
      <c r="O45" s="64">
        <f>'Hj'!K45</f>
        <v>586</v>
      </c>
      <c r="P45" s="62">
        <f>Lu!F45</f>
        <v>50</v>
      </c>
      <c r="Q45" s="64">
        <f>Lu!G45</f>
        <v>433</v>
      </c>
      <c r="R45" s="62">
        <f>'Hj-Lu'!F45</f>
        <v>0</v>
      </c>
      <c r="S45" s="64">
        <f>'Hj-Lu'!G45</f>
        <v>41</v>
      </c>
      <c r="T45" s="62">
        <f>Tarm!H45</f>
        <v>0</v>
      </c>
      <c r="U45" s="65">
        <f>Tarm!I45</f>
        <v>15</v>
      </c>
    </row>
    <row r="46" spans="1:21" s="78" customFormat="1" ht="12.75">
      <c r="A46" s="17">
        <v>2007</v>
      </c>
      <c r="B46" s="62">
        <f>'Don-AD'!P46</f>
        <v>133</v>
      </c>
      <c r="C46" s="63">
        <f>'Don-AD'!Q46</f>
        <v>3306</v>
      </c>
      <c r="D46" s="72">
        <f>'Nj-AD+LD'!AI46</f>
        <v>123</v>
      </c>
      <c r="E46" s="63">
        <f>'Nj-AD+LD'!AK46</f>
        <v>3053</v>
      </c>
      <c r="F46" s="62">
        <f>'Nj-AD+LD'!AE46</f>
        <v>379</v>
      </c>
      <c r="G46" s="141">
        <f>'Nj-AD+LD'!AF46</f>
        <v>11336</v>
      </c>
      <c r="H46" s="62">
        <f>Pa!J46</f>
        <v>10</v>
      </c>
      <c r="I46" s="64">
        <f>Pa!K46</f>
        <v>437</v>
      </c>
      <c r="J46" s="62">
        <f>'P-öar'!J46</f>
        <v>4</v>
      </c>
      <c r="K46" s="64">
        <f>'P-öar'!K46</f>
        <v>42</v>
      </c>
      <c r="L46" s="62">
        <f>Le!H46</f>
        <v>136</v>
      </c>
      <c r="M46" s="64">
        <f>Le!I46</f>
        <v>1897</v>
      </c>
      <c r="N46" s="62">
        <f>'Hj'!J46</f>
        <v>46</v>
      </c>
      <c r="O46" s="64">
        <f>'Hj'!K46</f>
        <v>632</v>
      </c>
      <c r="P46" s="62">
        <f>Lu!F46</f>
        <v>43</v>
      </c>
      <c r="Q46" s="64">
        <f>Lu!G46</f>
        <v>476</v>
      </c>
      <c r="R46" s="62">
        <f>'Hj-Lu'!F46</f>
        <v>0</v>
      </c>
      <c r="S46" s="64">
        <f>'Hj-Lu'!G46</f>
        <v>41</v>
      </c>
      <c r="T46" s="62">
        <f>Tarm!H46</f>
        <v>2</v>
      </c>
      <c r="U46" s="65">
        <f>Tarm!I46</f>
        <v>17</v>
      </c>
    </row>
    <row r="47" spans="1:21" s="78" customFormat="1" ht="12.75">
      <c r="A47" s="17">
        <v>2008</v>
      </c>
      <c r="B47" s="62">
        <f>'Don-AD'!P47</f>
        <v>152</v>
      </c>
      <c r="C47" s="63">
        <f>'Don-AD'!Q47</f>
        <v>3458</v>
      </c>
      <c r="D47" s="72">
        <f>'Nj-AD+LD'!AI47</f>
        <v>136</v>
      </c>
      <c r="E47" s="63">
        <f>'Nj-AD+LD'!AK47</f>
        <v>3189</v>
      </c>
      <c r="F47" s="62">
        <f>'Nj-AD+LD'!AE47</f>
        <v>419</v>
      </c>
      <c r="G47" s="141">
        <f>'Nj-AD+LD'!AF47</f>
        <v>11755</v>
      </c>
      <c r="H47" s="62">
        <f>Pa!J47</f>
        <v>10</v>
      </c>
      <c r="I47" s="64">
        <f>Pa!K47</f>
        <v>447</v>
      </c>
      <c r="J47" s="62">
        <f>'P-öar'!J47</f>
        <v>4</v>
      </c>
      <c r="K47" s="64">
        <f>'P-öar'!K47</f>
        <v>46</v>
      </c>
      <c r="L47" s="62">
        <f>Le!H47</f>
        <v>147</v>
      </c>
      <c r="M47" s="64">
        <f>Le!I47</f>
        <v>2044</v>
      </c>
      <c r="N47" s="62">
        <f>'Hj'!J47</f>
        <v>44</v>
      </c>
      <c r="O47" s="64">
        <f>'Hj'!K47</f>
        <v>676</v>
      </c>
      <c r="P47" s="62">
        <f>Lu!F47</f>
        <v>51</v>
      </c>
      <c r="Q47" s="64">
        <f>Lu!G47</f>
        <v>527</v>
      </c>
      <c r="R47" s="62">
        <f>'Hj-Lu'!F47</f>
        <v>1</v>
      </c>
      <c r="S47" s="64">
        <f>'Hj-Lu'!G47</f>
        <v>42</v>
      </c>
      <c r="T47" s="62">
        <f>Tarm!H47</f>
        <v>5</v>
      </c>
      <c r="U47" s="65">
        <f>Tarm!I47</f>
        <v>22</v>
      </c>
    </row>
    <row r="48" spans="1:21" s="78" customFormat="1" ht="12.75">
      <c r="A48" s="17">
        <v>2009</v>
      </c>
      <c r="B48" s="62">
        <f>'Don-AD'!P48</f>
        <v>128</v>
      </c>
      <c r="C48" s="63">
        <f>'Don-AD'!Q48</f>
        <v>3586</v>
      </c>
      <c r="D48" s="72">
        <f>'Nj-AD+LD'!AI48</f>
        <v>163</v>
      </c>
      <c r="E48" s="63">
        <f>'Nj-AD+LD'!AK48</f>
        <v>3352</v>
      </c>
      <c r="F48" s="62">
        <f>'Nj-AD+LD'!AE48</f>
        <v>392</v>
      </c>
      <c r="G48" s="141">
        <f>'Nj-AD+LD'!AF48</f>
        <v>12147</v>
      </c>
      <c r="H48" s="62">
        <f>Pa!J48</f>
        <v>20</v>
      </c>
      <c r="I48" s="64">
        <f>Pa!K48</f>
        <v>467</v>
      </c>
      <c r="J48" s="62">
        <f>'P-öar'!J48</f>
        <v>5</v>
      </c>
      <c r="K48" s="64">
        <f>'P-öar'!K48</f>
        <v>51</v>
      </c>
      <c r="L48" s="62">
        <f>Le!H48</f>
        <v>146</v>
      </c>
      <c r="M48" s="64">
        <f>Le!I48</f>
        <v>2190</v>
      </c>
      <c r="N48" s="62">
        <f>'Hj'!J48</f>
        <v>55</v>
      </c>
      <c r="O48" s="64">
        <f>'Hj'!K48</f>
        <v>731</v>
      </c>
      <c r="P48" s="62">
        <f>Lu!F48</f>
        <v>50</v>
      </c>
      <c r="Q48" s="64">
        <f>Lu!G48</f>
        <v>577</v>
      </c>
      <c r="R48" s="62">
        <f>'Hj-Lu'!F48</f>
        <v>1</v>
      </c>
      <c r="S48" s="64">
        <f>'Hj-Lu'!G48</f>
        <v>43</v>
      </c>
      <c r="T48" s="62">
        <f>Tarm!H48</f>
        <v>2</v>
      </c>
      <c r="U48" s="65">
        <f>Tarm!I48</f>
        <v>24</v>
      </c>
    </row>
    <row r="49" spans="1:21" s="1" customFormat="1" ht="12.75">
      <c r="A49" s="17">
        <v>2010</v>
      </c>
      <c r="B49" s="186">
        <f>'Don-AD'!P49</f>
        <v>118</v>
      </c>
      <c r="C49" s="187">
        <f>'Don-AD'!Q49</f>
        <v>3704</v>
      </c>
      <c r="D49" s="143">
        <f>'Nj-AD+LD'!AI49</f>
        <v>168</v>
      </c>
      <c r="E49" s="187">
        <f>'Nj-AD+LD'!AK49</f>
        <v>3520</v>
      </c>
      <c r="F49" s="186">
        <f>'Nj-AD+LD'!AE49</f>
        <v>370</v>
      </c>
      <c r="G49" s="141">
        <f>'Nj-AD+LD'!AF49</f>
        <v>12517</v>
      </c>
      <c r="H49" s="186">
        <f>Pa!J49</f>
        <v>26</v>
      </c>
      <c r="I49" s="148">
        <f>Pa!K49</f>
        <v>493</v>
      </c>
      <c r="J49" s="186">
        <f>'P-öar'!J49</f>
        <v>10</v>
      </c>
      <c r="K49" s="148">
        <f>'P-öar'!K49</f>
        <v>61</v>
      </c>
      <c r="L49" s="186">
        <f>Le!H49</f>
        <v>137</v>
      </c>
      <c r="M49" s="148">
        <f>Le!I49</f>
        <v>2327</v>
      </c>
      <c r="N49" s="188">
        <f>'Hj'!J49</f>
        <v>56</v>
      </c>
      <c r="O49" s="189">
        <f>'Hj'!K49</f>
        <v>787</v>
      </c>
      <c r="P49" s="188">
        <f>Lu!F49</f>
        <v>51</v>
      </c>
      <c r="Q49" s="148">
        <f>Lu!G49</f>
        <v>628</v>
      </c>
      <c r="R49" s="186">
        <f>'Hj-Lu'!F49</f>
        <v>0</v>
      </c>
      <c r="S49" s="148">
        <f>'Hj-Lu'!G49</f>
        <v>43</v>
      </c>
      <c r="T49" s="186">
        <f>Tarm!H49</f>
        <v>1</v>
      </c>
      <c r="U49" s="156">
        <f>Tarm!I49</f>
        <v>25</v>
      </c>
    </row>
    <row r="50" spans="1:21" s="185" customFormat="1" ht="12.75">
      <c r="A50" s="171">
        <v>2011</v>
      </c>
      <c r="B50" s="175">
        <f>'Don-AD'!P50</f>
        <v>143</v>
      </c>
      <c r="C50" s="141">
        <f>'Don-AD'!Q50</f>
        <v>3847</v>
      </c>
      <c r="D50" s="172">
        <f>'Nj-AD+LD'!AI50</f>
        <v>184</v>
      </c>
      <c r="E50" s="141">
        <f>'Nj-AD+LD'!AK50</f>
        <v>3704</v>
      </c>
      <c r="F50" s="175">
        <f>'Nj-AD+LD'!AE50</f>
        <v>435</v>
      </c>
      <c r="G50" s="141">
        <f>'Nj-AD+LD'!AF50</f>
        <v>12952</v>
      </c>
      <c r="H50" s="175">
        <f>Pa!J50</f>
        <v>35</v>
      </c>
      <c r="I50" s="140">
        <f>Pa!K50</f>
        <v>528</v>
      </c>
      <c r="J50" s="175">
        <f>'P-öar'!J50</f>
        <v>5</v>
      </c>
      <c r="K50" s="140">
        <f>'P-öar'!K50</f>
        <v>66</v>
      </c>
      <c r="L50" s="175">
        <f>Le!H50</f>
        <v>156</v>
      </c>
      <c r="M50" s="140">
        <f>Le!I50</f>
        <v>2356</v>
      </c>
      <c r="N50" s="175">
        <f>'Hj'!J50</f>
        <v>51</v>
      </c>
      <c r="O50" s="140">
        <f>'Hj'!K50</f>
        <v>838</v>
      </c>
      <c r="P50" s="175">
        <f>Lu!F50</f>
        <v>59</v>
      </c>
      <c r="Q50" s="140">
        <f>Lu!G50</f>
        <v>687</v>
      </c>
      <c r="R50" s="175">
        <f>'Hj-Lu'!F50</f>
        <v>1</v>
      </c>
      <c r="S50" s="140">
        <f>'Hj-Lu'!G50</f>
        <v>44</v>
      </c>
      <c r="T50" s="175">
        <f>Tarm!H50</f>
        <v>2</v>
      </c>
      <c r="U50" s="147">
        <f>Tarm!I50</f>
        <v>27</v>
      </c>
    </row>
    <row r="51" spans="1:21" s="179" customFormat="1" ht="12.75">
      <c r="A51" s="171">
        <v>2012</v>
      </c>
      <c r="B51" s="175">
        <f>'Don-AD'!P51</f>
        <v>141</v>
      </c>
      <c r="C51" s="141">
        <f>'Don-AD'!Q51</f>
        <v>3988</v>
      </c>
      <c r="D51" s="172">
        <f>'Nj-AD+LD'!AI51</f>
        <v>155</v>
      </c>
      <c r="E51" s="141">
        <f>'Nj-AD+LD'!AK51</f>
        <v>3859</v>
      </c>
      <c r="F51" s="175">
        <f>'Nj-AD+LD'!AE51</f>
        <v>398</v>
      </c>
      <c r="G51" s="141">
        <f>'Nj-AD+LD'!AF51</f>
        <v>13350</v>
      </c>
      <c r="H51" s="175">
        <f>Pa!J51</f>
        <v>28</v>
      </c>
      <c r="I51" s="140">
        <f>Pa!K51</f>
        <v>556</v>
      </c>
      <c r="J51" s="175">
        <f>'P-öar'!J51</f>
        <v>5</v>
      </c>
      <c r="K51" s="140">
        <f>'P-öar'!K51</f>
        <v>71</v>
      </c>
      <c r="L51" s="175">
        <f>Le!H51</f>
        <v>153</v>
      </c>
      <c r="M51" s="140">
        <f>Le!I51</f>
        <v>2509</v>
      </c>
      <c r="N51" s="175">
        <f>'Hj'!J51</f>
        <v>47</v>
      </c>
      <c r="O51" s="140">
        <f>'Hj'!K51</f>
        <v>885</v>
      </c>
      <c r="P51" s="175">
        <f>Lu!F51</f>
        <v>59</v>
      </c>
      <c r="Q51" s="140">
        <f>Lu!G51</f>
        <v>746</v>
      </c>
      <c r="R51" s="175">
        <f>'Hj-Lu'!F51</f>
        <v>1</v>
      </c>
      <c r="S51" s="140">
        <f>'Hj-Lu'!G51</f>
        <v>45</v>
      </c>
      <c r="T51" s="175">
        <f>Tarm!H51</f>
        <v>2</v>
      </c>
      <c r="U51" s="147">
        <f>Tarm!I51</f>
        <v>29</v>
      </c>
    </row>
    <row r="52" spans="1:21" s="185" customFormat="1" ht="12.75">
      <c r="A52" s="171">
        <v>2013</v>
      </c>
      <c r="B52" s="175">
        <f>'Don-AD'!P52</f>
        <v>151</v>
      </c>
      <c r="C52" s="141">
        <f>'Don-AD'!Q52</f>
        <v>4139</v>
      </c>
      <c r="D52" s="172">
        <f>'Nj-AD+LD'!AI52</f>
        <v>151</v>
      </c>
      <c r="E52" s="141">
        <f>'Nj-AD+LD'!AK52</f>
        <v>4010</v>
      </c>
      <c r="F52" s="175">
        <f>'Nj-AD+LD'!AE52</f>
        <v>421</v>
      </c>
      <c r="G52" s="141">
        <f>'Nj-AD+LD'!AF52</f>
        <v>13771</v>
      </c>
      <c r="H52" s="175">
        <f>Pa!J52</f>
        <v>38</v>
      </c>
      <c r="I52" s="140">
        <f>Pa!K52</f>
        <v>594</v>
      </c>
      <c r="J52" s="175">
        <f>'P-öar'!J52</f>
        <v>16</v>
      </c>
      <c r="K52" s="140">
        <f>'P-öar'!K52</f>
        <v>87</v>
      </c>
      <c r="L52" s="175">
        <f>Le!H52</f>
        <v>161</v>
      </c>
      <c r="M52" s="140">
        <f>Le!I52</f>
        <v>2670</v>
      </c>
      <c r="N52" s="175">
        <f>'Hj'!J52</f>
        <v>55</v>
      </c>
      <c r="O52" s="140">
        <f>'Hj'!K52</f>
        <v>940</v>
      </c>
      <c r="P52" s="175">
        <f>Lu!F52</f>
        <v>58</v>
      </c>
      <c r="Q52" s="140">
        <f>Lu!G52</f>
        <v>804</v>
      </c>
      <c r="R52" s="175">
        <f>'Hj-Lu'!F52</f>
        <v>0</v>
      </c>
      <c r="S52" s="140">
        <f>'Hj-Lu'!G52</f>
        <v>45</v>
      </c>
      <c r="T52" s="175">
        <f>Tarm!H52</f>
        <v>0</v>
      </c>
      <c r="U52" s="147">
        <f>Tarm!I52</f>
        <v>29</v>
      </c>
    </row>
    <row r="53" spans="1:23" s="185" customFormat="1" ht="12.75">
      <c r="A53" s="171">
        <v>2014</v>
      </c>
      <c r="B53" s="175">
        <f>'Don-AD'!P53</f>
        <v>166</v>
      </c>
      <c r="C53" s="141">
        <f>'Don-AD'!Q53</f>
        <v>4305</v>
      </c>
      <c r="D53" s="172">
        <f>'Nj-AD+LD'!AI53</f>
        <v>151</v>
      </c>
      <c r="E53" s="141">
        <f>'Nj-AD+LD'!AK53</f>
        <v>4161</v>
      </c>
      <c r="F53" s="175">
        <f>'Nj-AD+LD'!AE53</f>
        <v>440</v>
      </c>
      <c r="G53" s="141">
        <f>'Nj-AD+LD'!AF53</f>
        <v>14211</v>
      </c>
      <c r="H53" s="175">
        <f>Pa!J53</f>
        <v>38</v>
      </c>
      <c r="I53" s="140">
        <f>Pa!K53</f>
        <v>632</v>
      </c>
      <c r="J53" s="175">
        <f>'P-öar'!J53</f>
        <v>20</v>
      </c>
      <c r="K53" s="140">
        <f>'P-öar'!K53</f>
        <v>107</v>
      </c>
      <c r="L53" s="175">
        <f>Le!H53</f>
        <v>182</v>
      </c>
      <c r="M53" s="140">
        <f>Le!I53</f>
        <v>2852</v>
      </c>
      <c r="N53" s="175">
        <f>'Hj'!J53</f>
        <v>67</v>
      </c>
      <c r="O53" s="140">
        <f>'Hj'!K53</f>
        <v>1007</v>
      </c>
      <c r="P53" s="175">
        <f>Lu!F53</f>
        <v>64</v>
      </c>
      <c r="Q53" s="140">
        <f>Lu!G53</f>
        <v>868</v>
      </c>
      <c r="R53" s="175">
        <f>'Hj-Lu'!F53</f>
        <v>1</v>
      </c>
      <c r="S53" s="140">
        <f>'Hj-Lu'!G53</f>
        <v>46</v>
      </c>
      <c r="T53" s="175">
        <f>Tarm!H53</f>
        <v>2</v>
      </c>
      <c r="U53" s="147">
        <f>Tarm!I53</f>
        <v>31</v>
      </c>
      <c r="V53" s="179"/>
      <c r="W53" s="179"/>
    </row>
    <row r="54" spans="1:21" s="185" customFormat="1" ht="12.75">
      <c r="A54" s="171">
        <v>2015</v>
      </c>
      <c r="B54" s="175">
        <f>'Don-AD'!P54</f>
        <v>167</v>
      </c>
      <c r="C54" s="141">
        <f>'Don-AD'!Q54</f>
        <v>4472</v>
      </c>
      <c r="D54" s="172">
        <f>'Nj-AD+LD'!AI54</f>
        <v>131</v>
      </c>
      <c r="E54" s="141">
        <f>'Nj-AD+LD'!AK54</f>
        <v>4292</v>
      </c>
      <c r="F54" s="175">
        <f>'Nj-AD+LD'!AE54</f>
        <v>426</v>
      </c>
      <c r="G54" s="141">
        <f>'Nj-AD+LD'!AF54</f>
        <v>14637</v>
      </c>
      <c r="H54" s="175">
        <f>Pa!J54</f>
        <v>30</v>
      </c>
      <c r="I54" s="140">
        <f>Pa!K54</f>
        <v>662</v>
      </c>
      <c r="J54" s="175">
        <f>'P-öar'!J54</f>
        <v>16</v>
      </c>
      <c r="K54" s="140">
        <f>'P-öar'!K54</f>
        <v>123</v>
      </c>
      <c r="L54" s="175">
        <f>Le!H54</f>
        <v>180</v>
      </c>
      <c r="M54" s="140">
        <f>Le!I54</f>
        <v>3032</v>
      </c>
      <c r="N54" s="175">
        <f>'Hj'!J54</f>
        <v>63</v>
      </c>
      <c r="O54" s="140">
        <f>'Hj'!K54</f>
        <v>1070</v>
      </c>
      <c r="P54" s="175">
        <f>Lu!F54</f>
        <v>47</v>
      </c>
      <c r="Q54" s="140">
        <f>Lu!G54</f>
        <v>915</v>
      </c>
      <c r="R54" s="175">
        <f>'Hj-Lu'!F54</f>
        <v>1</v>
      </c>
      <c r="S54" s="140">
        <f>'Hj-Lu'!G54</f>
        <v>47</v>
      </c>
      <c r="T54" s="175">
        <f>Tarm!H54</f>
        <v>2</v>
      </c>
      <c r="U54" s="147">
        <f>Tarm!I54</f>
        <v>33</v>
      </c>
    </row>
    <row r="55" spans="1:21" s="179" customFormat="1" ht="12.75">
      <c r="A55" s="17">
        <v>2016</v>
      </c>
      <c r="B55" s="175">
        <f>'Don-AD'!P55</f>
        <v>185</v>
      </c>
      <c r="C55" s="141">
        <f>'Don-AD'!Q55</f>
        <v>4657</v>
      </c>
      <c r="D55" s="172">
        <f>'Nj-AD+LD'!AI55</f>
        <v>135</v>
      </c>
      <c r="E55" s="141">
        <f>'Nj-AD+LD'!AK55</f>
        <v>4427</v>
      </c>
      <c r="F55" s="175">
        <f>'Nj-AD+LD'!AE55</f>
        <v>425</v>
      </c>
      <c r="G55" s="141">
        <f>'Nj-AD+LD'!AF55</f>
        <v>15062</v>
      </c>
      <c r="H55" s="175">
        <f>Pa!J55</f>
        <v>24</v>
      </c>
      <c r="I55" s="140">
        <f>Pa!K55</f>
        <v>686</v>
      </c>
      <c r="J55" s="175">
        <f>'P-öar'!J55</f>
        <v>10</v>
      </c>
      <c r="K55" s="140">
        <f>'P-öar'!K55</f>
        <v>133</v>
      </c>
      <c r="L55" s="175">
        <f>Le!H55</f>
        <v>199</v>
      </c>
      <c r="M55" s="140">
        <f>Le!I55</f>
        <v>3231</v>
      </c>
      <c r="N55" s="175">
        <f>'Hj'!J55</f>
        <v>64</v>
      </c>
      <c r="O55" s="140">
        <f>'Hj'!K55</f>
        <v>1134</v>
      </c>
      <c r="P55" s="175">
        <f>Lu!F55</f>
        <v>62</v>
      </c>
      <c r="Q55" s="140">
        <f>Lu!G55</f>
        <v>977</v>
      </c>
      <c r="R55" s="175">
        <f>'Hj-Lu'!F55</f>
        <v>0</v>
      </c>
      <c r="S55" s="140">
        <f>'Hj-Lu'!G55</f>
        <v>47</v>
      </c>
      <c r="T55" s="175">
        <f>Tarm!H55</f>
        <v>2</v>
      </c>
      <c r="U55" s="147">
        <f>Tarm!I55</f>
        <v>35</v>
      </c>
    </row>
    <row r="56" spans="1:21" s="185" customFormat="1" ht="12.75">
      <c r="A56" s="17">
        <v>2017</v>
      </c>
      <c r="B56" s="175">
        <f>'Don-AD'!P56</f>
        <v>188</v>
      </c>
      <c r="C56" s="141">
        <f>'Don-AD'!Q56</f>
        <v>4845</v>
      </c>
      <c r="D56" s="172">
        <f>'Nj-AD+LD'!AI56</f>
        <v>125</v>
      </c>
      <c r="E56" s="141">
        <f>'Nj-AD+LD'!AK56</f>
        <v>4552</v>
      </c>
      <c r="F56" s="175">
        <f>'Nj-AD+LD'!AE56</f>
        <v>474</v>
      </c>
      <c r="G56" s="141">
        <f>'Nj-AD+LD'!AF56</f>
        <v>15536</v>
      </c>
      <c r="H56" s="175">
        <f>Pa!J56</f>
        <v>25</v>
      </c>
      <c r="I56" s="140">
        <f>Pa!K56</f>
        <v>711</v>
      </c>
      <c r="J56" s="175">
        <f>'P-öar'!J56</f>
        <v>10</v>
      </c>
      <c r="K56" s="140">
        <f>'P-öar'!K56</f>
        <v>143</v>
      </c>
      <c r="L56" s="175">
        <f>Le!H56</f>
        <v>181</v>
      </c>
      <c r="M56" s="140">
        <f>Le!I56</f>
        <v>3412</v>
      </c>
      <c r="N56" s="175">
        <f>'Hj'!J56</f>
        <v>62</v>
      </c>
      <c r="O56" s="140">
        <f>'Hj'!K56</f>
        <v>1196</v>
      </c>
      <c r="P56" s="175">
        <f>Lu!F56</f>
        <v>65</v>
      </c>
      <c r="Q56" s="140">
        <f>Lu!G56</f>
        <v>1042</v>
      </c>
      <c r="R56" s="175">
        <f>'Hj-Lu'!F56</f>
        <v>0</v>
      </c>
      <c r="S56" s="140">
        <f>'Hj-Lu'!G56</f>
        <v>47</v>
      </c>
      <c r="T56" s="175">
        <f>Tarm!H56</f>
        <v>2</v>
      </c>
      <c r="U56" s="147">
        <f>Tarm!I56</f>
        <v>37</v>
      </c>
    </row>
    <row r="57" spans="1:21" s="185" customFormat="1" ht="12.75">
      <c r="A57" s="17">
        <v>2018</v>
      </c>
      <c r="B57" s="175">
        <f>'Don-AD'!P57+'Don-AD'!O57</f>
        <v>182</v>
      </c>
      <c r="C57" s="141">
        <f>'Don-AD'!Q57</f>
        <v>5027</v>
      </c>
      <c r="D57" s="172">
        <f>'Nj-AD+LD'!AI57</f>
        <v>144</v>
      </c>
      <c r="E57" s="141">
        <f>'Nj-AD+LD'!AK57</f>
        <v>4696</v>
      </c>
      <c r="F57" s="175">
        <f>'Nj-AD+LD'!AE57</f>
        <v>448</v>
      </c>
      <c r="G57" s="141">
        <f>'Nj-AD+LD'!AF57</f>
        <v>15984</v>
      </c>
      <c r="H57" s="175">
        <f>Pa!J57</f>
        <v>18</v>
      </c>
      <c r="I57" s="140">
        <f>Pa!K57</f>
        <v>729</v>
      </c>
      <c r="J57" s="175">
        <f>'P-öar'!J57</f>
        <v>14</v>
      </c>
      <c r="K57" s="140">
        <f>'P-öar'!K57</f>
        <v>157</v>
      </c>
      <c r="L57" s="175">
        <f>Le!H57</f>
        <v>163</v>
      </c>
      <c r="M57" s="140">
        <f>Le!I57</f>
        <v>3575</v>
      </c>
      <c r="N57" s="175">
        <f>'Hj'!J57</f>
        <v>66</v>
      </c>
      <c r="O57" s="140">
        <f>'Hj'!K57</f>
        <v>1262</v>
      </c>
      <c r="P57" s="175">
        <f>Lu!F57</f>
        <v>74</v>
      </c>
      <c r="Q57" s="140">
        <f>Lu!G57</f>
        <v>1116</v>
      </c>
      <c r="R57" s="175">
        <f>'Hj-Lu'!F57</f>
        <v>0</v>
      </c>
      <c r="S57" s="140">
        <f>'Hj-Lu'!G57</f>
        <v>47</v>
      </c>
      <c r="T57" s="175">
        <f>Tarm!H57</f>
        <v>2</v>
      </c>
      <c r="U57" s="147">
        <f>Tarm!I57</f>
        <v>39</v>
      </c>
    </row>
    <row r="58" spans="1:21" s="255" customFormat="1" ht="12.75">
      <c r="A58" s="17">
        <v>2019</v>
      </c>
      <c r="B58" s="186">
        <f>'Don-AD'!P58+'Don-AD'!O58</f>
        <v>191</v>
      </c>
      <c r="C58" s="187">
        <f>'Don-AD'!Q58</f>
        <v>5218</v>
      </c>
      <c r="D58" s="143">
        <f>'Nj-AD+LD'!AI58</f>
        <v>147</v>
      </c>
      <c r="E58" s="187">
        <f>'Nj-AD+LD'!AK58</f>
        <v>4843</v>
      </c>
      <c r="F58" s="186">
        <f>'Nj-AD+LD'!AE58</f>
        <v>476</v>
      </c>
      <c r="G58" s="187">
        <f>'Nj-AD+LD'!AF58</f>
        <v>16460</v>
      </c>
      <c r="H58" s="186">
        <f>Pa!J58</f>
        <v>23</v>
      </c>
      <c r="I58" s="148">
        <f>Pa!K58</f>
        <v>752</v>
      </c>
      <c r="J58" s="186">
        <f>'P-öar'!J58</f>
        <v>13</v>
      </c>
      <c r="K58" s="148">
        <f>'P-öar'!K58</f>
        <v>170</v>
      </c>
      <c r="L58" s="186">
        <f>Le!H58</f>
        <v>183</v>
      </c>
      <c r="M58" s="148">
        <f>Le!I58</f>
        <v>3758</v>
      </c>
      <c r="N58" s="186">
        <f>'Hj'!J58</f>
        <v>60</v>
      </c>
      <c r="O58" s="148">
        <f>'Hj'!K58</f>
        <v>1322</v>
      </c>
      <c r="P58" s="186">
        <f>Lu!F58</f>
        <v>55</v>
      </c>
      <c r="Q58" s="148">
        <f>Lu!G58</f>
        <v>1171</v>
      </c>
      <c r="R58" s="186">
        <f>'Hj-Lu'!F58</f>
        <v>1</v>
      </c>
      <c r="S58" s="148">
        <f>'Hj-Lu'!G58</f>
        <v>48</v>
      </c>
      <c r="T58" s="186">
        <f>Tarm!H58</f>
        <v>0</v>
      </c>
      <c r="U58" s="156">
        <f>Tarm!I58</f>
        <v>39</v>
      </c>
    </row>
    <row r="59" spans="1:21" s="78" customFormat="1" ht="12.75">
      <c r="A59" s="243">
        <v>2020</v>
      </c>
      <c r="B59" s="190">
        <f>'Don-AD'!P59+'Don-AD'!O59</f>
        <v>46</v>
      </c>
      <c r="C59" s="165">
        <f>'Don-AD'!Q59</f>
        <v>5264</v>
      </c>
      <c r="D59" s="191">
        <f>'Nj-AD+LD'!AI59</f>
        <v>40</v>
      </c>
      <c r="E59" s="165">
        <f>'Nj-AD+LD'!AK59</f>
        <v>4883</v>
      </c>
      <c r="F59" s="190">
        <f>'Nj-AD+LD'!AE59</f>
        <v>130</v>
      </c>
      <c r="G59" s="165">
        <f>'Nj-AD+LD'!AF59</f>
        <v>16590</v>
      </c>
      <c r="H59" s="190">
        <f>Pa!J59</f>
        <v>0</v>
      </c>
      <c r="I59" s="192">
        <f>Pa!K59</f>
        <v>752</v>
      </c>
      <c r="J59" s="190">
        <f>'P-öar'!J59</f>
        <v>3</v>
      </c>
      <c r="K59" s="192">
        <f>'P-öar'!K59</f>
        <v>173</v>
      </c>
      <c r="L59" s="190">
        <f>Le!H59</f>
        <v>48</v>
      </c>
      <c r="M59" s="192">
        <f>Le!I59</f>
        <v>3806</v>
      </c>
      <c r="N59" s="190">
        <f>'Hj'!J59</f>
        <v>13</v>
      </c>
      <c r="O59" s="192">
        <f>'Hj'!K59</f>
        <v>1335</v>
      </c>
      <c r="P59" s="190">
        <f>Lu!F59</f>
        <v>12</v>
      </c>
      <c r="Q59" s="192">
        <f>Lu!G59</f>
        <v>1183</v>
      </c>
      <c r="R59" s="190">
        <f>'Hj-Lu'!F59</f>
        <v>0</v>
      </c>
      <c r="S59" s="192">
        <f>'Hj-Lu'!G59</f>
        <v>48</v>
      </c>
      <c r="T59" s="190">
        <f>Tarm!H59</f>
        <v>0</v>
      </c>
      <c r="U59" s="193">
        <f>Tarm!I59</f>
        <v>39</v>
      </c>
    </row>
    <row r="60" spans="1:21" s="78" customFormat="1" ht="12.75">
      <c r="A60" s="17"/>
      <c r="B60" s="62"/>
      <c r="C60" s="65"/>
      <c r="D60" s="74"/>
      <c r="E60" s="82"/>
      <c r="F60" s="74"/>
      <c r="G60" s="73"/>
      <c r="H60" s="75"/>
      <c r="I60" s="73"/>
      <c r="J60" s="75"/>
      <c r="K60" s="73"/>
      <c r="L60" s="75"/>
      <c r="M60" s="73"/>
      <c r="N60" s="75"/>
      <c r="O60" s="73"/>
      <c r="P60" s="75"/>
      <c r="Q60" s="73"/>
      <c r="R60" s="75"/>
      <c r="S60" s="73"/>
      <c r="T60" s="75"/>
      <c r="U60" s="73"/>
    </row>
    <row r="61" spans="1:21" s="78" customFormat="1" ht="12.75">
      <c r="A61" s="17"/>
      <c r="B61" s="62"/>
      <c r="C61" s="65"/>
      <c r="D61" s="74"/>
      <c r="E61" s="82"/>
      <c r="F61" s="74"/>
      <c r="G61" s="73"/>
      <c r="H61" s="75"/>
      <c r="I61" s="73"/>
      <c r="J61" s="75"/>
      <c r="K61" s="73"/>
      <c r="L61" s="75"/>
      <c r="M61" s="73"/>
      <c r="N61" s="75"/>
      <c r="O61" s="73"/>
      <c r="P61" s="75"/>
      <c r="Q61" s="73"/>
      <c r="R61" s="75"/>
      <c r="S61" s="73"/>
      <c r="T61" s="75"/>
      <c r="U61" s="73"/>
    </row>
    <row r="62" spans="1:21" s="78" customFormat="1" ht="12.75">
      <c r="A62" s="17"/>
      <c r="B62" s="62"/>
      <c r="C62" s="65"/>
      <c r="D62" s="74"/>
      <c r="E62" s="82"/>
      <c r="F62" s="74"/>
      <c r="G62" s="73"/>
      <c r="H62" s="75"/>
      <c r="I62" s="73"/>
      <c r="J62" s="75"/>
      <c r="K62" s="73"/>
      <c r="L62" s="75"/>
      <c r="M62" s="73"/>
      <c r="N62" s="75"/>
      <c r="O62" s="73"/>
      <c r="P62" s="75"/>
      <c r="Q62" s="73"/>
      <c r="R62" s="75"/>
      <c r="S62" s="73"/>
      <c r="T62" s="75"/>
      <c r="U62" s="73"/>
    </row>
    <row r="63" spans="1:21" s="78" customFormat="1" ht="12.75">
      <c r="A63" s="17"/>
      <c r="B63" s="62"/>
      <c r="C63" s="65"/>
      <c r="D63" s="74"/>
      <c r="E63" s="82"/>
      <c r="F63" s="74"/>
      <c r="G63" s="73"/>
      <c r="H63" s="75"/>
      <c r="I63" s="73"/>
      <c r="J63" s="75"/>
      <c r="K63" s="73"/>
      <c r="L63" s="75"/>
      <c r="M63" s="73"/>
      <c r="N63" s="75"/>
      <c r="O63" s="73"/>
      <c r="P63" s="75"/>
      <c r="Q63" s="73"/>
      <c r="R63" s="75"/>
      <c r="S63" s="73"/>
      <c r="T63" s="75"/>
      <c r="U63" s="73"/>
    </row>
    <row r="64" spans="1:21" s="78" customFormat="1" ht="12.75">
      <c r="A64" s="17"/>
      <c r="B64" s="62"/>
      <c r="C64" s="65"/>
      <c r="D64" s="74"/>
      <c r="E64" s="82"/>
      <c r="F64" s="74"/>
      <c r="G64" s="73"/>
      <c r="H64" s="75"/>
      <c r="I64" s="73"/>
      <c r="J64" s="75"/>
      <c r="K64" s="73"/>
      <c r="L64" s="75"/>
      <c r="M64" s="73"/>
      <c r="N64" s="75"/>
      <c r="O64" s="73"/>
      <c r="P64" s="75"/>
      <c r="Q64" s="73"/>
      <c r="R64" s="75"/>
      <c r="S64" s="73"/>
      <c r="T64" s="75"/>
      <c r="U64" s="73"/>
    </row>
    <row r="65" spans="1:21" s="78" customFormat="1" ht="12.75">
      <c r="A65" s="17"/>
      <c r="B65" s="62"/>
      <c r="C65" s="65"/>
      <c r="D65" s="74"/>
      <c r="E65" s="82"/>
      <c r="F65" s="74"/>
      <c r="G65" s="73"/>
      <c r="H65" s="75"/>
      <c r="I65" s="73"/>
      <c r="J65" s="75"/>
      <c r="K65" s="73"/>
      <c r="L65" s="75"/>
      <c r="M65" s="73"/>
      <c r="N65" s="75"/>
      <c r="O65" s="73"/>
      <c r="P65" s="75"/>
      <c r="Q65" s="73"/>
      <c r="R65" s="75"/>
      <c r="S65" s="73"/>
      <c r="T65" s="75"/>
      <c r="U65" s="73"/>
    </row>
    <row r="66" spans="1:21" s="78" customFormat="1" ht="12.75">
      <c r="A66" s="17"/>
      <c r="B66" s="62"/>
      <c r="C66" s="65"/>
      <c r="D66" s="74"/>
      <c r="E66" s="82"/>
      <c r="F66" s="74"/>
      <c r="G66" s="73"/>
      <c r="H66" s="75"/>
      <c r="I66" s="73"/>
      <c r="J66" s="75"/>
      <c r="K66" s="73"/>
      <c r="L66" s="75"/>
      <c r="M66" s="73"/>
      <c r="N66" s="75"/>
      <c r="O66" s="73"/>
      <c r="P66" s="75"/>
      <c r="Q66" s="73"/>
      <c r="R66" s="75"/>
      <c r="S66" s="73"/>
      <c r="T66" s="75"/>
      <c r="U66" s="73"/>
    </row>
    <row r="67" spans="1:21" s="78" customFormat="1" ht="12.75">
      <c r="A67" s="17"/>
      <c r="B67" s="62"/>
      <c r="C67" s="65"/>
      <c r="D67" s="74"/>
      <c r="E67" s="82"/>
      <c r="F67" s="74"/>
      <c r="G67" s="73"/>
      <c r="H67" s="75"/>
      <c r="I67" s="73"/>
      <c r="J67" s="75"/>
      <c r="K67" s="73"/>
      <c r="L67" s="75"/>
      <c r="M67" s="73"/>
      <c r="N67" s="75"/>
      <c r="O67" s="73"/>
      <c r="P67" s="75"/>
      <c r="Q67" s="73"/>
      <c r="R67" s="75"/>
      <c r="S67" s="73"/>
      <c r="T67" s="75"/>
      <c r="U67" s="73"/>
    </row>
    <row r="68" spans="1:21" s="78" customFormat="1" ht="12.75">
      <c r="A68" s="17"/>
      <c r="B68" s="62"/>
      <c r="C68" s="65"/>
      <c r="D68" s="74"/>
      <c r="E68" s="82"/>
      <c r="F68" s="74"/>
      <c r="G68" s="73"/>
      <c r="H68" s="75"/>
      <c r="I68" s="73"/>
      <c r="J68" s="75"/>
      <c r="K68" s="73"/>
      <c r="L68" s="75"/>
      <c r="M68" s="73"/>
      <c r="N68" s="75"/>
      <c r="O68" s="73"/>
      <c r="P68" s="75"/>
      <c r="Q68" s="73"/>
      <c r="R68" s="75"/>
      <c r="S68" s="73"/>
      <c r="T68" s="75"/>
      <c r="U68" s="73"/>
    </row>
    <row r="69" spans="1:21" s="78" customFormat="1" ht="12.75">
      <c r="A69" s="17"/>
      <c r="B69" s="62"/>
      <c r="C69" s="65"/>
      <c r="D69" s="74"/>
      <c r="E69" s="82"/>
      <c r="F69" s="74"/>
      <c r="G69" s="73"/>
      <c r="H69" s="75"/>
      <c r="I69" s="73"/>
      <c r="J69" s="75"/>
      <c r="K69" s="73"/>
      <c r="L69" s="75"/>
      <c r="M69" s="73"/>
      <c r="N69" s="75"/>
      <c r="O69" s="73"/>
      <c r="P69" s="75"/>
      <c r="Q69" s="73"/>
      <c r="R69" s="75"/>
      <c r="S69" s="73"/>
      <c r="T69" s="75"/>
      <c r="U69" s="73"/>
    </row>
    <row r="70" spans="1:21" s="78" customFormat="1" ht="12.75">
      <c r="A70" s="17"/>
      <c r="B70" s="62"/>
      <c r="C70" s="65"/>
      <c r="D70" s="74"/>
      <c r="E70" s="82"/>
      <c r="F70" s="74"/>
      <c r="G70" s="73"/>
      <c r="H70" s="75"/>
      <c r="I70" s="73"/>
      <c r="J70" s="75"/>
      <c r="K70" s="73"/>
      <c r="L70" s="75"/>
      <c r="M70" s="73"/>
      <c r="N70" s="75"/>
      <c r="O70" s="73"/>
      <c r="P70" s="75"/>
      <c r="Q70" s="73"/>
      <c r="R70" s="75"/>
      <c r="S70" s="73"/>
      <c r="T70" s="75"/>
      <c r="U70" s="73"/>
    </row>
    <row r="71" spans="1:21" s="78" customFormat="1" ht="12.75">
      <c r="A71" s="17"/>
      <c r="B71" s="62"/>
      <c r="C71" s="65"/>
      <c r="D71" s="74"/>
      <c r="E71" s="82"/>
      <c r="F71" s="74"/>
      <c r="G71" s="73"/>
      <c r="H71" s="75"/>
      <c r="I71" s="73"/>
      <c r="J71" s="75"/>
      <c r="K71" s="73"/>
      <c r="L71" s="75"/>
      <c r="M71" s="73"/>
      <c r="N71" s="75"/>
      <c r="O71" s="73"/>
      <c r="P71" s="75"/>
      <c r="Q71" s="73"/>
      <c r="R71" s="75"/>
      <c r="S71" s="73"/>
      <c r="T71" s="75"/>
      <c r="U71" s="73"/>
    </row>
    <row r="72" spans="1:21" s="78" customFormat="1" ht="12.75">
      <c r="A72" s="18"/>
      <c r="B72" s="66"/>
      <c r="C72" s="69"/>
      <c r="D72" s="85"/>
      <c r="E72" s="87"/>
      <c r="F72" s="85"/>
      <c r="G72" s="86"/>
      <c r="H72" s="90"/>
      <c r="I72" s="86"/>
      <c r="J72" s="90"/>
      <c r="K72" s="86"/>
      <c r="L72" s="90"/>
      <c r="M72" s="86"/>
      <c r="N72" s="90"/>
      <c r="O72" s="86"/>
      <c r="P72" s="90"/>
      <c r="Q72" s="86"/>
      <c r="R72" s="90"/>
      <c r="S72" s="86"/>
      <c r="T72" s="90"/>
      <c r="U72" s="86"/>
    </row>
    <row r="73" spans="1:3" s="78" customFormat="1" ht="12.75">
      <c r="A73" s="1"/>
      <c r="B73" s="91"/>
      <c r="C73" s="91"/>
    </row>
    <row r="74" spans="1:3" s="78" customFormat="1" ht="12.75">
      <c r="A74" s="1"/>
      <c r="B74" s="91"/>
      <c r="C74" s="91"/>
    </row>
    <row r="75" spans="1:3" s="78" customFormat="1" ht="12.75">
      <c r="A75" s="1"/>
      <c r="B75" s="91"/>
      <c r="C75" s="91"/>
    </row>
    <row r="76" spans="1:3" s="78" customFormat="1" ht="12.75">
      <c r="A76" s="1"/>
      <c r="B76" s="91"/>
      <c r="C76" s="91"/>
    </row>
    <row r="77" spans="1:3" s="78" customFormat="1" ht="12.75">
      <c r="A77" s="1"/>
      <c r="B77" s="91"/>
      <c r="C77" s="91"/>
    </row>
    <row r="78" s="78" customFormat="1" ht="12.75">
      <c r="A78" s="1"/>
    </row>
    <row r="79" s="78" customFormat="1" ht="12.75">
      <c r="A79" s="1"/>
    </row>
    <row r="80" s="78" customFormat="1" ht="12.75">
      <c r="A80" s="1"/>
    </row>
    <row r="81" s="78" customFormat="1" ht="12.75">
      <c r="A81" s="1"/>
    </row>
    <row r="82" s="78" customFormat="1" ht="12.75">
      <c r="A82" s="1"/>
    </row>
    <row r="83" s="78" customFormat="1" ht="12.75">
      <c r="A83" s="1"/>
    </row>
    <row r="84" s="78" customFormat="1" ht="12.75">
      <c r="A84" s="1"/>
    </row>
    <row r="85" s="78" customFormat="1" ht="12.75">
      <c r="A85" s="1"/>
    </row>
    <row r="86" s="78" customFormat="1" ht="12.75">
      <c r="A86" s="1"/>
    </row>
    <row r="87" s="78" customFormat="1" ht="12.75">
      <c r="A87" s="1"/>
    </row>
    <row r="88" s="78" customFormat="1" ht="12.75">
      <c r="A88" s="1"/>
    </row>
    <row r="89" s="78" customFormat="1" ht="12.75">
      <c r="A89" s="1"/>
    </row>
    <row r="90" s="78" customFormat="1" ht="12.75">
      <c r="A90" s="1"/>
    </row>
    <row r="91" s="78" customFormat="1" ht="12.75">
      <c r="A91" s="1"/>
    </row>
    <row r="92" s="78" customFormat="1" ht="12.75">
      <c r="A92" s="1"/>
    </row>
    <row r="93" s="78" customFormat="1" ht="12.75">
      <c r="A93" s="1"/>
    </row>
    <row r="94" s="78" customFormat="1" ht="12.75">
      <c r="A94" s="1"/>
    </row>
    <row r="95" s="78" customFormat="1" ht="12.75">
      <c r="A95" s="1"/>
    </row>
    <row r="96" s="78" customFormat="1" ht="12.75">
      <c r="A96" s="1"/>
    </row>
  </sheetData>
  <sheetProtection/>
  <mergeCells count="10">
    <mergeCell ref="B1:C1"/>
    <mergeCell ref="D1:E1"/>
    <mergeCell ref="H1:I1"/>
    <mergeCell ref="J1:K1"/>
    <mergeCell ref="T1:U1"/>
    <mergeCell ref="F1:G1"/>
    <mergeCell ref="L1:M1"/>
    <mergeCell ref="N1:O1"/>
    <mergeCell ref="P1:Q1"/>
    <mergeCell ref="R1:S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T77"/>
  <sheetViews>
    <sheetView showGridLines="0" zoomScalePageLayoutView="0" workbookViewId="0" topLeftCell="A1">
      <pane ySplit="1155" topLeftCell="A46" activePane="bottomLeft" state="split"/>
      <selection pane="topLeft" activeCell="B61" sqref="B61"/>
      <selection pane="bottomLeft" activeCell="L63" sqref="L63"/>
    </sheetView>
  </sheetViews>
  <sheetFormatPr defaultColWidth="9.140625" defaultRowHeight="12.75"/>
  <cols>
    <col min="1" max="1" width="5.8515625" style="1" customWidth="1"/>
    <col min="2" max="2" width="7.7109375" style="99" customWidth="1"/>
    <col min="3" max="8" width="7.7109375" style="7" customWidth="1"/>
    <col min="9" max="9" width="6.7109375" style="7" customWidth="1"/>
    <col min="10" max="10" width="2.00390625" style="7" customWidth="1"/>
    <col min="11" max="11" width="9.7109375" style="7" customWidth="1"/>
    <col min="12" max="17" width="7.7109375" style="7" customWidth="1"/>
  </cols>
  <sheetData>
    <row r="1" spans="1:17" s="6" customFormat="1" ht="20.25" customHeight="1">
      <c r="A1" s="16"/>
      <c r="B1" s="383" t="s">
        <v>4</v>
      </c>
      <c r="C1" s="384"/>
      <c r="D1" s="386"/>
      <c r="E1" s="383" t="s">
        <v>5</v>
      </c>
      <c r="F1" s="384"/>
      <c r="G1" s="386"/>
      <c r="H1" s="383" t="s">
        <v>6</v>
      </c>
      <c r="I1" s="384"/>
      <c r="J1" s="384"/>
      <c r="K1" s="386"/>
      <c r="L1" s="383" t="s">
        <v>7</v>
      </c>
      <c r="M1" s="384"/>
      <c r="N1" s="386"/>
      <c r="O1" s="383" t="s">
        <v>8</v>
      </c>
      <c r="P1" s="384"/>
      <c r="Q1" s="385"/>
    </row>
    <row r="2" spans="1:17" s="2" customFormat="1" ht="25.5" customHeight="1" thickBot="1">
      <c r="A2" s="107" t="s">
        <v>9</v>
      </c>
      <c r="B2" s="104" t="s">
        <v>50</v>
      </c>
      <c r="C2" s="105" t="s">
        <v>51</v>
      </c>
      <c r="D2" s="107" t="s">
        <v>1</v>
      </c>
      <c r="E2" s="104" t="s">
        <v>50</v>
      </c>
      <c r="F2" s="105" t="s">
        <v>51</v>
      </c>
      <c r="G2" s="111" t="s">
        <v>1</v>
      </c>
      <c r="H2" s="104" t="s">
        <v>50</v>
      </c>
      <c r="I2" s="105" t="s">
        <v>51</v>
      </c>
      <c r="J2" s="106"/>
      <c r="K2" s="107" t="s">
        <v>1</v>
      </c>
      <c r="L2" s="104" t="s">
        <v>50</v>
      </c>
      <c r="M2" s="105" t="s">
        <v>51</v>
      </c>
      <c r="N2" s="107" t="s">
        <v>1</v>
      </c>
      <c r="O2" s="104" t="s">
        <v>50</v>
      </c>
      <c r="P2" s="105" t="s">
        <v>51</v>
      </c>
      <c r="Q2" s="105" t="s">
        <v>1</v>
      </c>
    </row>
    <row r="3" spans="1:17" ht="17.25" customHeight="1" thickTop="1">
      <c r="A3" s="17">
        <v>1964</v>
      </c>
      <c r="B3" s="102"/>
      <c r="C3" s="65"/>
      <c r="D3" s="64"/>
      <c r="E3" s="62"/>
      <c r="F3" s="65"/>
      <c r="G3" s="63"/>
      <c r="H3" s="62"/>
      <c r="I3" s="64"/>
      <c r="J3" s="93"/>
      <c r="K3" s="64"/>
      <c r="L3" s="72"/>
      <c r="M3" s="65"/>
      <c r="N3" s="64"/>
      <c r="O3" s="72"/>
      <c r="P3" s="65"/>
      <c r="Q3" s="65"/>
    </row>
    <row r="4" spans="1:17" ht="12.75">
      <c r="A4" s="17">
        <v>1965</v>
      </c>
      <c r="B4" s="102"/>
      <c r="C4" s="65"/>
      <c r="D4" s="64"/>
      <c r="E4" s="62"/>
      <c r="F4" s="65"/>
      <c r="G4" s="63"/>
      <c r="H4" s="62"/>
      <c r="I4" s="64"/>
      <c r="J4" s="93"/>
      <c r="K4" s="64"/>
      <c r="L4" s="72"/>
      <c r="M4" s="65"/>
      <c r="N4" s="64"/>
      <c r="O4" s="72"/>
      <c r="P4" s="65"/>
      <c r="Q4" s="65"/>
    </row>
    <row r="5" spans="1:17" ht="12.75">
      <c r="A5" s="17">
        <v>1966</v>
      </c>
      <c r="B5" s="102"/>
      <c r="C5" s="65"/>
      <c r="D5" s="64"/>
      <c r="E5" s="62"/>
      <c r="F5" s="65"/>
      <c r="G5" s="63"/>
      <c r="H5" s="62"/>
      <c r="I5" s="64"/>
      <c r="J5" s="93"/>
      <c r="K5" s="64"/>
      <c r="L5" s="72"/>
      <c r="M5" s="65"/>
      <c r="N5" s="64"/>
      <c r="O5" s="72"/>
      <c r="P5" s="65"/>
      <c r="Q5" s="65"/>
    </row>
    <row r="6" spans="1:17" ht="12.75">
      <c r="A6" s="17">
        <v>1967</v>
      </c>
      <c r="B6" s="102"/>
      <c r="C6" s="65"/>
      <c r="D6" s="64"/>
      <c r="E6" s="62"/>
      <c r="F6" s="65"/>
      <c r="G6" s="63"/>
      <c r="H6" s="62"/>
      <c r="I6" s="64"/>
      <c r="J6" s="93"/>
      <c r="K6" s="64"/>
      <c r="L6" s="72"/>
      <c r="M6" s="65"/>
      <c r="N6" s="64"/>
      <c r="O6" s="72"/>
      <c r="P6" s="65"/>
      <c r="Q6" s="65"/>
    </row>
    <row r="7" spans="1:17" ht="12.75">
      <c r="A7" s="17">
        <v>1968</v>
      </c>
      <c r="B7" s="102"/>
      <c r="C7" s="65"/>
      <c r="D7" s="64"/>
      <c r="E7" s="62"/>
      <c r="F7" s="65"/>
      <c r="G7" s="63"/>
      <c r="H7" s="62"/>
      <c r="I7" s="64"/>
      <c r="J7" s="93"/>
      <c r="K7" s="64"/>
      <c r="L7" s="72"/>
      <c r="M7" s="65"/>
      <c r="N7" s="64"/>
      <c r="O7" s="72"/>
      <c r="P7" s="65"/>
      <c r="Q7" s="65"/>
    </row>
    <row r="8" spans="1:17" ht="12.75">
      <c r="A8" s="17">
        <v>1969</v>
      </c>
      <c r="B8" s="102"/>
      <c r="C8" s="65"/>
      <c r="D8" s="64"/>
      <c r="E8" s="62"/>
      <c r="F8" s="65"/>
      <c r="G8" s="63"/>
      <c r="H8" s="62"/>
      <c r="I8" s="64"/>
      <c r="J8" s="93"/>
      <c r="K8" s="64"/>
      <c r="L8" s="72"/>
      <c r="M8" s="65"/>
      <c r="N8" s="64"/>
      <c r="O8" s="72"/>
      <c r="P8" s="65"/>
      <c r="Q8" s="65"/>
    </row>
    <row r="9" spans="1:17" ht="12.75">
      <c r="A9" s="17">
        <v>1970</v>
      </c>
      <c r="B9" s="102"/>
      <c r="C9" s="65"/>
      <c r="D9" s="64"/>
      <c r="E9" s="62"/>
      <c r="F9" s="65"/>
      <c r="G9" s="63"/>
      <c r="H9" s="62"/>
      <c r="I9" s="64"/>
      <c r="J9" s="93"/>
      <c r="K9" s="64"/>
      <c r="L9" s="72"/>
      <c r="M9" s="65"/>
      <c r="N9" s="64"/>
      <c r="O9" s="72"/>
      <c r="P9" s="65"/>
      <c r="Q9" s="65"/>
    </row>
    <row r="10" spans="1:17" ht="12.75">
      <c r="A10" s="17">
        <v>1971</v>
      </c>
      <c r="B10" s="102"/>
      <c r="C10" s="65"/>
      <c r="D10" s="64"/>
      <c r="E10" s="62"/>
      <c r="F10" s="65"/>
      <c r="G10" s="63"/>
      <c r="H10" s="62"/>
      <c r="I10" s="64"/>
      <c r="J10" s="93"/>
      <c r="K10" s="64"/>
      <c r="L10" s="72"/>
      <c r="M10" s="65"/>
      <c r="N10" s="64"/>
      <c r="O10" s="72"/>
      <c r="P10" s="65"/>
      <c r="Q10" s="65"/>
    </row>
    <row r="11" spans="1:17" ht="12.75">
      <c r="A11" s="17">
        <v>1972</v>
      </c>
      <c r="B11" s="102"/>
      <c r="C11" s="65"/>
      <c r="D11" s="64"/>
      <c r="E11" s="62"/>
      <c r="F11" s="65"/>
      <c r="G11" s="63"/>
      <c r="H11" s="62"/>
      <c r="I11" s="64"/>
      <c r="J11" s="93"/>
      <c r="K11" s="64"/>
      <c r="L11" s="72"/>
      <c r="M11" s="65"/>
      <c r="N11" s="64"/>
      <c r="O11" s="72"/>
      <c r="P11" s="65"/>
      <c r="Q11" s="65"/>
    </row>
    <row r="12" spans="1:17" ht="12.75">
      <c r="A12" s="17">
        <v>1973</v>
      </c>
      <c r="B12" s="102"/>
      <c r="C12" s="65"/>
      <c r="D12" s="64"/>
      <c r="E12" s="62"/>
      <c r="F12" s="65"/>
      <c r="G12" s="63"/>
      <c r="H12" s="62"/>
      <c r="I12" s="64"/>
      <c r="J12" s="93"/>
      <c r="K12" s="64"/>
      <c r="L12" s="72"/>
      <c r="M12" s="65"/>
      <c r="N12" s="64"/>
      <c r="O12" s="72"/>
      <c r="P12" s="65"/>
      <c r="Q12" s="65"/>
    </row>
    <row r="13" spans="1:17" ht="12.75">
      <c r="A13" s="17">
        <v>1974</v>
      </c>
      <c r="B13" s="102"/>
      <c r="C13" s="65"/>
      <c r="D13" s="64"/>
      <c r="E13" s="62"/>
      <c r="F13" s="65"/>
      <c r="G13" s="63"/>
      <c r="H13" s="62"/>
      <c r="I13" s="64"/>
      <c r="J13" s="93"/>
      <c r="K13" s="64"/>
      <c r="L13" s="72"/>
      <c r="M13" s="65"/>
      <c r="N13" s="64"/>
      <c r="O13" s="72"/>
      <c r="P13" s="65"/>
      <c r="Q13" s="65"/>
    </row>
    <row r="14" spans="1:17" ht="12.75">
      <c r="A14" s="17">
        <v>1975</v>
      </c>
      <c r="B14" s="102"/>
      <c r="C14" s="65"/>
      <c r="D14" s="64"/>
      <c r="E14" s="62"/>
      <c r="F14" s="65"/>
      <c r="G14" s="63"/>
      <c r="H14" s="62"/>
      <c r="I14" s="64"/>
      <c r="J14" s="93"/>
      <c r="K14" s="64"/>
      <c r="L14" s="72"/>
      <c r="M14" s="65"/>
      <c r="N14" s="64"/>
      <c r="O14" s="72"/>
      <c r="P14" s="65"/>
      <c r="Q14" s="65"/>
    </row>
    <row r="15" spans="1:17" ht="12.75">
      <c r="A15" s="17">
        <v>1976</v>
      </c>
      <c r="B15" s="102"/>
      <c r="C15" s="65"/>
      <c r="D15" s="64"/>
      <c r="E15" s="62"/>
      <c r="F15" s="65"/>
      <c r="G15" s="63"/>
      <c r="H15" s="62"/>
      <c r="I15" s="64"/>
      <c r="J15" s="93"/>
      <c r="K15" s="64"/>
      <c r="L15" s="72"/>
      <c r="M15" s="65"/>
      <c r="N15" s="64"/>
      <c r="O15" s="72"/>
      <c r="P15" s="65"/>
      <c r="Q15" s="65"/>
    </row>
    <row r="16" spans="1:17" ht="12.75">
      <c r="A16" s="17">
        <v>1977</v>
      </c>
      <c r="B16" s="102"/>
      <c r="C16" s="65"/>
      <c r="D16" s="64"/>
      <c r="E16" s="62"/>
      <c r="F16" s="65"/>
      <c r="G16" s="63"/>
      <c r="H16" s="62"/>
      <c r="I16" s="64"/>
      <c r="J16" s="93"/>
      <c r="K16" s="64"/>
      <c r="L16" s="72"/>
      <c r="M16" s="65"/>
      <c r="N16" s="64"/>
      <c r="O16" s="72"/>
      <c r="P16" s="65"/>
      <c r="Q16" s="65"/>
    </row>
    <row r="17" spans="1:17" ht="12.75">
      <c r="A17" s="17">
        <v>1978</v>
      </c>
      <c r="B17" s="102"/>
      <c r="C17" s="65"/>
      <c r="D17" s="64"/>
      <c r="E17" s="62"/>
      <c r="F17" s="65"/>
      <c r="G17" s="63"/>
      <c r="H17" s="62"/>
      <c r="I17" s="64"/>
      <c r="J17" s="93"/>
      <c r="K17" s="64"/>
      <c r="L17" s="72"/>
      <c r="M17" s="65"/>
      <c r="N17" s="64"/>
      <c r="O17" s="143"/>
      <c r="P17" s="65"/>
      <c r="Q17" s="65"/>
    </row>
    <row r="18" spans="1:17" ht="12.75">
      <c r="A18" s="17">
        <v>1979</v>
      </c>
      <c r="B18" s="102"/>
      <c r="C18" s="65"/>
      <c r="D18" s="64"/>
      <c r="E18" s="62"/>
      <c r="F18" s="65"/>
      <c r="G18" s="63"/>
      <c r="H18" s="62"/>
      <c r="I18" s="64"/>
      <c r="J18" s="93"/>
      <c r="K18" s="64"/>
      <c r="L18" s="72"/>
      <c r="M18" s="65"/>
      <c r="N18" s="64"/>
      <c r="O18" s="143"/>
      <c r="P18" s="65"/>
      <c r="Q18" s="65"/>
    </row>
    <row r="19" spans="1:17" ht="12.75">
      <c r="A19" s="17">
        <v>1980</v>
      </c>
      <c r="B19" s="102"/>
      <c r="C19" s="65"/>
      <c r="D19" s="64"/>
      <c r="E19" s="62"/>
      <c r="F19" s="65"/>
      <c r="G19" s="63"/>
      <c r="H19" s="62"/>
      <c r="I19" s="64"/>
      <c r="J19" s="93"/>
      <c r="K19" s="64"/>
      <c r="L19" s="72"/>
      <c r="M19" s="65"/>
      <c r="N19" s="64"/>
      <c r="O19" s="143"/>
      <c r="P19" s="65"/>
      <c r="Q19" s="65"/>
    </row>
    <row r="20" spans="1:17" ht="12.75">
      <c r="A20" s="17">
        <v>1981</v>
      </c>
      <c r="B20" s="102"/>
      <c r="C20" s="65">
        <v>27</v>
      </c>
      <c r="D20" s="64">
        <f>D19+C20</f>
        <v>27</v>
      </c>
      <c r="E20" s="62"/>
      <c r="F20" s="65">
        <v>32</v>
      </c>
      <c r="G20" s="63">
        <f>G19+F20</f>
        <v>32</v>
      </c>
      <c r="H20" s="62"/>
      <c r="I20" s="64">
        <v>30</v>
      </c>
      <c r="J20" s="93"/>
      <c r="K20" s="64">
        <f>K19+I20</f>
        <v>30</v>
      </c>
      <c r="L20" s="72"/>
      <c r="M20" s="65">
        <v>21</v>
      </c>
      <c r="N20" s="64">
        <f>N19+M20</f>
        <v>21</v>
      </c>
      <c r="O20" s="226"/>
      <c r="P20" s="65">
        <f>C20+F20+I20+M20</f>
        <v>110</v>
      </c>
      <c r="Q20" s="65">
        <f>Q19+P20</f>
        <v>110</v>
      </c>
    </row>
    <row r="21" spans="1:17" ht="12.75">
      <c r="A21" s="17">
        <v>1982</v>
      </c>
      <c r="B21" s="102"/>
      <c r="C21" s="65">
        <v>29</v>
      </c>
      <c r="D21" s="64">
        <f aca="true" t="shared" si="0" ref="D21:D44">D20+C21</f>
        <v>56</v>
      </c>
      <c r="E21" s="62"/>
      <c r="F21" s="65">
        <v>34</v>
      </c>
      <c r="G21" s="63">
        <f aca="true" t="shared" si="1" ref="G21:G44">G20+F21</f>
        <v>66</v>
      </c>
      <c r="H21" s="62"/>
      <c r="I21" s="64">
        <v>33</v>
      </c>
      <c r="J21" s="93"/>
      <c r="K21" s="64">
        <f aca="true" t="shared" si="2" ref="K21:K44">K20+I21</f>
        <v>63</v>
      </c>
      <c r="L21" s="72"/>
      <c r="M21" s="65">
        <v>12</v>
      </c>
      <c r="N21" s="64">
        <f aca="true" t="shared" si="3" ref="N21:N44">N20+M21</f>
        <v>33</v>
      </c>
      <c r="O21" s="226"/>
      <c r="P21" s="65">
        <f aca="true" t="shared" si="4" ref="P21:P45">C21+F21+I21+M21</f>
        <v>108</v>
      </c>
      <c r="Q21" s="65">
        <f aca="true" t="shared" si="5" ref="Q21:Q44">Q20+P21</f>
        <v>218</v>
      </c>
    </row>
    <row r="22" spans="1:17" ht="12.75">
      <c r="A22" s="17">
        <v>1983</v>
      </c>
      <c r="B22" s="102"/>
      <c r="C22" s="65">
        <v>33</v>
      </c>
      <c r="D22" s="64">
        <f t="shared" si="0"/>
        <v>89</v>
      </c>
      <c r="E22" s="62"/>
      <c r="F22" s="65">
        <v>29</v>
      </c>
      <c r="G22" s="63">
        <f t="shared" si="1"/>
        <v>95</v>
      </c>
      <c r="H22" s="62"/>
      <c r="I22" s="64">
        <v>35</v>
      </c>
      <c r="J22" s="93"/>
      <c r="K22" s="64">
        <f t="shared" si="2"/>
        <v>98</v>
      </c>
      <c r="L22" s="72"/>
      <c r="M22" s="65">
        <v>13</v>
      </c>
      <c r="N22" s="64">
        <f t="shared" si="3"/>
        <v>46</v>
      </c>
      <c r="O22" s="226"/>
      <c r="P22" s="65">
        <f t="shared" si="4"/>
        <v>110</v>
      </c>
      <c r="Q22" s="65">
        <f t="shared" si="5"/>
        <v>328</v>
      </c>
    </row>
    <row r="23" spans="1:17" ht="12.75">
      <c r="A23" s="17">
        <v>1984</v>
      </c>
      <c r="B23" s="102"/>
      <c r="C23" s="65">
        <v>40</v>
      </c>
      <c r="D23" s="64">
        <f t="shared" si="0"/>
        <v>129</v>
      </c>
      <c r="E23" s="62"/>
      <c r="F23" s="65">
        <v>39</v>
      </c>
      <c r="G23" s="63">
        <f t="shared" si="1"/>
        <v>134</v>
      </c>
      <c r="H23" s="62"/>
      <c r="I23" s="64">
        <v>45</v>
      </c>
      <c r="J23" s="93"/>
      <c r="K23" s="64">
        <f t="shared" si="2"/>
        <v>143</v>
      </c>
      <c r="L23" s="72"/>
      <c r="M23" s="65">
        <v>25</v>
      </c>
      <c r="N23" s="64">
        <f t="shared" si="3"/>
        <v>71</v>
      </c>
      <c r="O23" s="226"/>
      <c r="P23" s="65">
        <f t="shared" si="4"/>
        <v>149</v>
      </c>
      <c r="Q23" s="65">
        <f t="shared" si="5"/>
        <v>477</v>
      </c>
    </row>
    <row r="24" spans="1:17" ht="12.75">
      <c r="A24" s="17">
        <v>1985</v>
      </c>
      <c r="B24" s="102"/>
      <c r="C24" s="65">
        <v>37</v>
      </c>
      <c r="D24" s="64">
        <f t="shared" si="0"/>
        <v>166</v>
      </c>
      <c r="E24" s="62"/>
      <c r="F24" s="65">
        <v>30</v>
      </c>
      <c r="G24" s="63">
        <f t="shared" si="1"/>
        <v>164</v>
      </c>
      <c r="H24" s="62"/>
      <c r="I24" s="64">
        <v>44</v>
      </c>
      <c r="J24" s="93"/>
      <c r="K24" s="64">
        <f t="shared" si="2"/>
        <v>187</v>
      </c>
      <c r="L24" s="72"/>
      <c r="M24" s="65">
        <v>19</v>
      </c>
      <c r="N24" s="64">
        <f t="shared" si="3"/>
        <v>90</v>
      </c>
      <c r="O24" s="226"/>
      <c r="P24" s="65">
        <f t="shared" si="4"/>
        <v>130</v>
      </c>
      <c r="Q24" s="65">
        <f t="shared" si="5"/>
        <v>607</v>
      </c>
    </row>
    <row r="25" spans="1:17" ht="12.75">
      <c r="A25" s="17">
        <v>1986</v>
      </c>
      <c r="B25" s="102"/>
      <c r="C25" s="65">
        <v>36</v>
      </c>
      <c r="D25" s="64">
        <f t="shared" si="0"/>
        <v>202</v>
      </c>
      <c r="E25" s="62"/>
      <c r="F25" s="65">
        <v>29</v>
      </c>
      <c r="G25" s="63">
        <f t="shared" si="1"/>
        <v>193</v>
      </c>
      <c r="H25" s="62"/>
      <c r="I25" s="64">
        <v>69</v>
      </c>
      <c r="J25" s="93"/>
      <c r="K25" s="64">
        <f t="shared" si="2"/>
        <v>256</v>
      </c>
      <c r="L25" s="72"/>
      <c r="M25" s="65">
        <v>18</v>
      </c>
      <c r="N25" s="64">
        <f t="shared" si="3"/>
        <v>108</v>
      </c>
      <c r="O25" s="226"/>
      <c r="P25" s="65">
        <f t="shared" si="4"/>
        <v>152</v>
      </c>
      <c r="Q25" s="65">
        <f t="shared" si="5"/>
        <v>759</v>
      </c>
    </row>
    <row r="26" spans="1:17" ht="12.75">
      <c r="A26" s="17">
        <v>1987</v>
      </c>
      <c r="B26" s="102"/>
      <c r="C26" s="65">
        <v>34</v>
      </c>
      <c r="D26" s="64">
        <f t="shared" si="0"/>
        <v>236</v>
      </c>
      <c r="E26" s="62"/>
      <c r="F26" s="65">
        <v>33</v>
      </c>
      <c r="G26" s="63">
        <f t="shared" si="1"/>
        <v>226</v>
      </c>
      <c r="H26" s="62"/>
      <c r="I26" s="64">
        <v>50</v>
      </c>
      <c r="J26" s="93"/>
      <c r="K26" s="64">
        <f t="shared" si="2"/>
        <v>306</v>
      </c>
      <c r="L26" s="72"/>
      <c r="M26" s="65">
        <v>30</v>
      </c>
      <c r="N26" s="64">
        <f t="shared" si="3"/>
        <v>138</v>
      </c>
      <c r="O26" s="226"/>
      <c r="P26" s="65">
        <f t="shared" si="4"/>
        <v>147</v>
      </c>
      <c r="Q26" s="65">
        <f t="shared" si="5"/>
        <v>906</v>
      </c>
    </row>
    <row r="27" spans="1:17" ht="12.75">
      <c r="A27" s="17">
        <v>1988</v>
      </c>
      <c r="B27" s="102"/>
      <c r="C27" s="65">
        <v>29</v>
      </c>
      <c r="D27" s="64">
        <f t="shared" si="0"/>
        <v>265</v>
      </c>
      <c r="E27" s="62"/>
      <c r="F27" s="65">
        <v>33</v>
      </c>
      <c r="G27" s="63">
        <f t="shared" si="1"/>
        <v>259</v>
      </c>
      <c r="H27" s="62"/>
      <c r="I27" s="64">
        <v>54</v>
      </c>
      <c r="J27" s="93"/>
      <c r="K27" s="64">
        <f t="shared" si="2"/>
        <v>360</v>
      </c>
      <c r="L27" s="72"/>
      <c r="M27" s="65">
        <v>20</v>
      </c>
      <c r="N27" s="64">
        <f t="shared" si="3"/>
        <v>158</v>
      </c>
      <c r="O27" s="226"/>
      <c r="P27" s="65">
        <f t="shared" si="4"/>
        <v>136</v>
      </c>
      <c r="Q27" s="65">
        <f t="shared" si="5"/>
        <v>1042</v>
      </c>
    </row>
    <row r="28" spans="1:17" ht="12.75">
      <c r="A28" s="17">
        <v>1989</v>
      </c>
      <c r="B28" s="102"/>
      <c r="C28" s="65">
        <v>39</v>
      </c>
      <c r="D28" s="64">
        <f t="shared" si="0"/>
        <v>304</v>
      </c>
      <c r="E28" s="62"/>
      <c r="F28" s="65">
        <v>30</v>
      </c>
      <c r="G28" s="63">
        <f t="shared" si="1"/>
        <v>289</v>
      </c>
      <c r="H28" s="62"/>
      <c r="I28" s="64">
        <v>53</v>
      </c>
      <c r="J28" s="93"/>
      <c r="K28" s="64">
        <f t="shared" si="2"/>
        <v>413</v>
      </c>
      <c r="L28" s="72"/>
      <c r="M28" s="65">
        <v>30</v>
      </c>
      <c r="N28" s="64">
        <f t="shared" si="3"/>
        <v>188</v>
      </c>
      <c r="O28" s="226"/>
      <c r="P28" s="65">
        <f t="shared" si="4"/>
        <v>152</v>
      </c>
      <c r="Q28" s="65">
        <f t="shared" si="5"/>
        <v>1194</v>
      </c>
    </row>
    <row r="29" spans="1:17" ht="12.75">
      <c r="A29" s="17">
        <v>1990</v>
      </c>
      <c r="B29" s="102"/>
      <c r="C29" s="65">
        <v>33</v>
      </c>
      <c r="D29" s="64">
        <f t="shared" si="0"/>
        <v>337</v>
      </c>
      <c r="E29" s="62"/>
      <c r="F29" s="65">
        <v>32</v>
      </c>
      <c r="G29" s="63">
        <f t="shared" si="1"/>
        <v>321</v>
      </c>
      <c r="H29" s="62"/>
      <c r="I29" s="64">
        <v>42</v>
      </c>
      <c r="J29" s="93"/>
      <c r="K29" s="64">
        <f t="shared" si="2"/>
        <v>455</v>
      </c>
      <c r="L29" s="72"/>
      <c r="M29" s="65">
        <v>21</v>
      </c>
      <c r="N29" s="64">
        <f t="shared" si="3"/>
        <v>209</v>
      </c>
      <c r="O29" s="226"/>
      <c r="P29" s="65">
        <f t="shared" si="4"/>
        <v>128</v>
      </c>
      <c r="Q29" s="65">
        <f t="shared" si="5"/>
        <v>1322</v>
      </c>
    </row>
    <row r="30" spans="1:17" ht="12.75">
      <c r="A30" s="17">
        <v>1991</v>
      </c>
      <c r="B30" s="102"/>
      <c r="C30" s="65">
        <v>31</v>
      </c>
      <c r="D30" s="64">
        <f t="shared" si="0"/>
        <v>368</v>
      </c>
      <c r="E30" s="62"/>
      <c r="F30" s="65">
        <v>29</v>
      </c>
      <c r="G30" s="63">
        <f t="shared" si="1"/>
        <v>350</v>
      </c>
      <c r="H30" s="62"/>
      <c r="I30" s="64">
        <v>56</v>
      </c>
      <c r="J30" s="93"/>
      <c r="K30" s="64">
        <f t="shared" si="2"/>
        <v>511</v>
      </c>
      <c r="L30" s="72"/>
      <c r="M30" s="65">
        <v>21</v>
      </c>
      <c r="N30" s="64">
        <f t="shared" si="3"/>
        <v>230</v>
      </c>
      <c r="O30" s="226"/>
      <c r="P30" s="65">
        <f t="shared" si="4"/>
        <v>137</v>
      </c>
      <c r="Q30" s="65">
        <f t="shared" si="5"/>
        <v>1459</v>
      </c>
    </row>
    <row r="31" spans="1:17" ht="12.75">
      <c r="A31" s="17">
        <v>1992</v>
      </c>
      <c r="B31" s="102"/>
      <c r="C31" s="65">
        <v>28</v>
      </c>
      <c r="D31" s="64">
        <f t="shared" si="0"/>
        <v>396</v>
      </c>
      <c r="E31" s="62"/>
      <c r="F31" s="65">
        <v>26</v>
      </c>
      <c r="G31" s="63">
        <f t="shared" si="1"/>
        <v>376</v>
      </c>
      <c r="H31" s="62"/>
      <c r="I31" s="64">
        <v>56</v>
      </c>
      <c r="J31" s="93"/>
      <c r="K31" s="64">
        <f t="shared" si="2"/>
        <v>567</v>
      </c>
      <c r="L31" s="72"/>
      <c r="M31" s="65">
        <v>15</v>
      </c>
      <c r="N31" s="64">
        <f t="shared" si="3"/>
        <v>245</v>
      </c>
      <c r="O31" s="226"/>
      <c r="P31" s="65">
        <f t="shared" si="4"/>
        <v>125</v>
      </c>
      <c r="Q31" s="65">
        <f t="shared" si="5"/>
        <v>1584</v>
      </c>
    </row>
    <row r="32" spans="1:17" ht="12.75">
      <c r="A32" s="17">
        <v>1993</v>
      </c>
      <c r="B32" s="102"/>
      <c r="C32" s="65">
        <v>38</v>
      </c>
      <c r="D32" s="64">
        <f t="shared" si="0"/>
        <v>434</v>
      </c>
      <c r="E32" s="62"/>
      <c r="F32" s="65">
        <v>23</v>
      </c>
      <c r="G32" s="63">
        <f t="shared" si="1"/>
        <v>399</v>
      </c>
      <c r="H32" s="62"/>
      <c r="I32" s="64">
        <v>43</v>
      </c>
      <c r="J32" s="98" t="s">
        <v>20</v>
      </c>
      <c r="K32" s="64">
        <f t="shared" si="2"/>
        <v>610</v>
      </c>
      <c r="L32" s="72"/>
      <c r="M32" s="65">
        <v>20</v>
      </c>
      <c r="N32" s="64">
        <f t="shared" si="3"/>
        <v>265</v>
      </c>
      <c r="O32" s="226"/>
      <c r="P32" s="65">
        <f t="shared" si="4"/>
        <v>124</v>
      </c>
      <c r="Q32" s="65">
        <f t="shared" si="5"/>
        <v>1708</v>
      </c>
    </row>
    <row r="33" spans="1:17" ht="12.75">
      <c r="A33" s="17">
        <v>1994</v>
      </c>
      <c r="B33" s="102"/>
      <c r="C33" s="65">
        <v>20</v>
      </c>
      <c r="D33" s="64">
        <f t="shared" si="0"/>
        <v>454</v>
      </c>
      <c r="E33" s="62"/>
      <c r="F33" s="65">
        <v>23</v>
      </c>
      <c r="G33" s="63">
        <f t="shared" si="1"/>
        <v>422</v>
      </c>
      <c r="H33" s="62"/>
      <c r="I33" s="64">
        <v>43</v>
      </c>
      <c r="J33" s="98" t="s">
        <v>21</v>
      </c>
      <c r="K33" s="64">
        <f t="shared" si="2"/>
        <v>653</v>
      </c>
      <c r="L33" s="72"/>
      <c r="M33" s="65">
        <v>22</v>
      </c>
      <c r="N33" s="64">
        <f t="shared" si="3"/>
        <v>287</v>
      </c>
      <c r="O33" s="226"/>
      <c r="P33" s="65">
        <f t="shared" si="4"/>
        <v>108</v>
      </c>
      <c r="Q33" s="65">
        <f t="shared" si="5"/>
        <v>1816</v>
      </c>
    </row>
    <row r="34" spans="1:17" ht="12.75">
      <c r="A34" s="17">
        <v>1995</v>
      </c>
      <c r="B34" s="102"/>
      <c r="C34" s="65">
        <v>20</v>
      </c>
      <c r="D34" s="64">
        <f t="shared" si="0"/>
        <v>474</v>
      </c>
      <c r="E34" s="62"/>
      <c r="F34" s="65">
        <v>20</v>
      </c>
      <c r="G34" s="63">
        <f t="shared" si="1"/>
        <v>442</v>
      </c>
      <c r="H34" s="62"/>
      <c r="I34" s="64">
        <v>43</v>
      </c>
      <c r="J34" s="98" t="s">
        <v>21</v>
      </c>
      <c r="K34" s="64">
        <f t="shared" si="2"/>
        <v>696</v>
      </c>
      <c r="L34" s="72"/>
      <c r="M34" s="65">
        <v>21</v>
      </c>
      <c r="N34" s="64">
        <f t="shared" si="3"/>
        <v>308</v>
      </c>
      <c r="O34" s="226"/>
      <c r="P34" s="65">
        <f t="shared" si="4"/>
        <v>104</v>
      </c>
      <c r="Q34" s="65">
        <f t="shared" si="5"/>
        <v>1920</v>
      </c>
    </row>
    <row r="35" spans="1:17" ht="12.75">
      <c r="A35" s="17">
        <v>1996</v>
      </c>
      <c r="B35" s="102"/>
      <c r="C35" s="65">
        <v>23</v>
      </c>
      <c r="D35" s="64">
        <f t="shared" si="0"/>
        <v>497</v>
      </c>
      <c r="E35" s="62"/>
      <c r="F35" s="65">
        <v>19</v>
      </c>
      <c r="G35" s="63">
        <f t="shared" si="1"/>
        <v>461</v>
      </c>
      <c r="H35" s="62"/>
      <c r="I35" s="64">
        <v>46</v>
      </c>
      <c r="J35" s="98" t="s">
        <v>21</v>
      </c>
      <c r="K35" s="64">
        <f t="shared" si="2"/>
        <v>742</v>
      </c>
      <c r="L35" s="72"/>
      <c r="M35" s="65">
        <v>11</v>
      </c>
      <c r="N35" s="64">
        <f t="shared" si="3"/>
        <v>319</v>
      </c>
      <c r="O35" s="226"/>
      <c r="P35" s="65">
        <f t="shared" si="4"/>
        <v>99</v>
      </c>
      <c r="Q35" s="65">
        <f t="shared" si="5"/>
        <v>2019</v>
      </c>
    </row>
    <row r="36" spans="1:17" ht="12.75">
      <c r="A36" s="17">
        <v>1997</v>
      </c>
      <c r="B36" s="102"/>
      <c r="C36" s="65">
        <v>29</v>
      </c>
      <c r="D36" s="64">
        <f t="shared" si="0"/>
        <v>526</v>
      </c>
      <c r="E36" s="62"/>
      <c r="F36" s="65">
        <v>24</v>
      </c>
      <c r="G36" s="63">
        <f>G35+F36</f>
        <v>485</v>
      </c>
      <c r="H36" s="62"/>
      <c r="I36" s="64">
        <v>42</v>
      </c>
      <c r="J36" s="93"/>
      <c r="K36" s="64">
        <f t="shared" si="2"/>
        <v>784</v>
      </c>
      <c r="L36" s="72"/>
      <c r="M36" s="65">
        <v>17</v>
      </c>
      <c r="N36" s="64">
        <f t="shared" si="3"/>
        <v>336</v>
      </c>
      <c r="O36" s="226"/>
      <c r="P36" s="65">
        <f t="shared" si="4"/>
        <v>112</v>
      </c>
      <c r="Q36" s="65">
        <f t="shared" si="5"/>
        <v>2131</v>
      </c>
    </row>
    <row r="37" spans="1:17" ht="12.75">
      <c r="A37" s="17">
        <v>1998</v>
      </c>
      <c r="B37" s="102"/>
      <c r="C37" s="65">
        <v>25</v>
      </c>
      <c r="D37" s="64">
        <f t="shared" si="0"/>
        <v>551</v>
      </c>
      <c r="E37" s="62"/>
      <c r="F37" s="65">
        <v>30</v>
      </c>
      <c r="G37" s="63">
        <f t="shared" si="1"/>
        <v>515</v>
      </c>
      <c r="H37" s="62"/>
      <c r="I37" s="64">
        <v>58</v>
      </c>
      <c r="J37" s="93"/>
      <c r="K37" s="64">
        <f t="shared" si="2"/>
        <v>842</v>
      </c>
      <c r="L37" s="72"/>
      <c r="M37" s="65">
        <v>16</v>
      </c>
      <c r="N37" s="64">
        <f t="shared" si="3"/>
        <v>352</v>
      </c>
      <c r="O37" s="226"/>
      <c r="P37" s="65">
        <f t="shared" si="4"/>
        <v>129</v>
      </c>
      <c r="Q37" s="65">
        <f t="shared" si="5"/>
        <v>2260</v>
      </c>
    </row>
    <row r="38" spans="1:17" ht="12.75">
      <c r="A38" s="18">
        <v>1999</v>
      </c>
      <c r="B38" s="103"/>
      <c r="C38" s="69">
        <v>16</v>
      </c>
      <c r="D38" s="68">
        <f t="shared" si="0"/>
        <v>567</v>
      </c>
      <c r="E38" s="66"/>
      <c r="F38" s="69">
        <v>23</v>
      </c>
      <c r="G38" s="67">
        <f t="shared" si="1"/>
        <v>538</v>
      </c>
      <c r="H38" s="66"/>
      <c r="I38" s="68">
        <v>46</v>
      </c>
      <c r="J38" s="94"/>
      <c r="K38" s="68">
        <f t="shared" si="2"/>
        <v>888</v>
      </c>
      <c r="L38" s="92"/>
      <c r="M38" s="69">
        <v>23</v>
      </c>
      <c r="N38" s="68">
        <f t="shared" si="3"/>
        <v>375</v>
      </c>
      <c r="O38" s="227"/>
      <c r="P38" s="69">
        <f t="shared" si="4"/>
        <v>108</v>
      </c>
      <c r="Q38" s="69">
        <f t="shared" si="5"/>
        <v>2368</v>
      </c>
    </row>
    <row r="39" spans="1:17" s="7" customFormat="1" ht="17.25" customHeight="1">
      <c r="A39" s="17">
        <v>2000</v>
      </c>
      <c r="B39" s="212"/>
      <c r="C39" s="156">
        <v>23</v>
      </c>
      <c r="D39" s="148">
        <f t="shared" si="0"/>
        <v>590</v>
      </c>
      <c r="E39" s="212"/>
      <c r="F39" s="156">
        <v>26</v>
      </c>
      <c r="G39" s="187">
        <f t="shared" si="1"/>
        <v>564</v>
      </c>
      <c r="H39" s="212"/>
      <c r="I39" s="148">
        <v>34</v>
      </c>
      <c r="J39" s="213"/>
      <c r="K39" s="148">
        <f t="shared" si="2"/>
        <v>922</v>
      </c>
      <c r="L39" s="214"/>
      <c r="M39" s="156">
        <v>14</v>
      </c>
      <c r="N39" s="148">
        <f t="shared" si="3"/>
        <v>389</v>
      </c>
      <c r="O39" s="214"/>
      <c r="P39" s="156">
        <f t="shared" si="4"/>
        <v>97</v>
      </c>
      <c r="Q39" s="156">
        <f t="shared" si="5"/>
        <v>2465</v>
      </c>
    </row>
    <row r="40" spans="1:17" ht="12.75">
      <c r="A40" s="17">
        <v>2001</v>
      </c>
      <c r="B40" s="215"/>
      <c r="C40" s="156">
        <v>20</v>
      </c>
      <c r="D40" s="148">
        <f t="shared" si="0"/>
        <v>610</v>
      </c>
      <c r="E40" s="212"/>
      <c r="F40" s="156">
        <v>32</v>
      </c>
      <c r="G40" s="187">
        <f t="shared" si="1"/>
        <v>596</v>
      </c>
      <c r="H40" s="212"/>
      <c r="I40" s="148">
        <v>39</v>
      </c>
      <c r="J40" s="213"/>
      <c r="K40" s="148">
        <f t="shared" si="2"/>
        <v>961</v>
      </c>
      <c r="L40" s="214"/>
      <c r="M40" s="156">
        <v>17</v>
      </c>
      <c r="N40" s="148">
        <f t="shared" si="3"/>
        <v>406</v>
      </c>
      <c r="O40" s="214"/>
      <c r="P40" s="156">
        <f t="shared" si="4"/>
        <v>108</v>
      </c>
      <c r="Q40" s="156">
        <f t="shared" si="5"/>
        <v>2573</v>
      </c>
    </row>
    <row r="41" spans="1:17" ht="12.75">
      <c r="A41" s="17">
        <v>2002</v>
      </c>
      <c r="B41" s="215"/>
      <c r="C41" s="156">
        <v>21</v>
      </c>
      <c r="D41" s="148">
        <f t="shared" si="0"/>
        <v>631</v>
      </c>
      <c r="E41" s="212"/>
      <c r="F41" s="156">
        <v>21</v>
      </c>
      <c r="G41" s="187">
        <f t="shared" si="1"/>
        <v>617</v>
      </c>
      <c r="H41" s="212"/>
      <c r="I41" s="148">
        <v>36</v>
      </c>
      <c r="J41" s="213"/>
      <c r="K41" s="148">
        <f t="shared" si="2"/>
        <v>997</v>
      </c>
      <c r="L41" s="214"/>
      <c r="M41" s="156">
        <v>20</v>
      </c>
      <c r="N41" s="148">
        <f t="shared" si="3"/>
        <v>426</v>
      </c>
      <c r="O41" s="214"/>
      <c r="P41" s="156">
        <f t="shared" si="4"/>
        <v>98</v>
      </c>
      <c r="Q41" s="156">
        <f t="shared" si="5"/>
        <v>2671</v>
      </c>
    </row>
    <row r="42" spans="1:17" ht="12.75">
      <c r="A42" s="17">
        <v>2003</v>
      </c>
      <c r="B42" s="215"/>
      <c r="C42" s="156">
        <v>22</v>
      </c>
      <c r="D42" s="148">
        <f t="shared" si="0"/>
        <v>653</v>
      </c>
      <c r="E42" s="212"/>
      <c r="F42" s="156">
        <v>31</v>
      </c>
      <c r="G42" s="187">
        <f t="shared" si="1"/>
        <v>648</v>
      </c>
      <c r="H42" s="212"/>
      <c r="I42" s="148">
        <v>44</v>
      </c>
      <c r="J42" s="213"/>
      <c r="K42" s="148">
        <f t="shared" si="2"/>
        <v>1041</v>
      </c>
      <c r="L42" s="214"/>
      <c r="M42" s="156">
        <v>17</v>
      </c>
      <c r="N42" s="148">
        <f t="shared" si="3"/>
        <v>443</v>
      </c>
      <c r="O42" s="214"/>
      <c r="P42" s="156">
        <f t="shared" si="4"/>
        <v>114</v>
      </c>
      <c r="Q42" s="156">
        <f t="shared" si="5"/>
        <v>2785</v>
      </c>
    </row>
    <row r="43" spans="1:17" ht="12.75">
      <c r="A43" s="17">
        <v>2004</v>
      </c>
      <c r="B43" s="212"/>
      <c r="C43" s="163">
        <v>20</v>
      </c>
      <c r="D43" s="189">
        <f t="shared" si="0"/>
        <v>673</v>
      </c>
      <c r="E43" s="216"/>
      <c r="F43" s="163">
        <v>41</v>
      </c>
      <c r="G43" s="187">
        <f t="shared" si="1"/>
        <v>689</v>
      </c>
      <c r="H43" s="212"/>
      <c r="I43" s="148">
        <v>51</v>
      </c>
      <c r="J43" s="213"/>
      <c r="K43" s="148">
        <f t="shared" si="2"/>
        <v>1092</v>
      </c>
      <c r="L43" s="214"/>
      <c r="M43" s="156">
        <v>11</v>
      </c>
      <c r="N43" s="148">
        <f t="shared" si="3"/>
        <v>454</v>
      </c>
      <c r="O43" s="214"/>
      <c r="P43" s="156">
        <f t="shared" si="4"/>
        <v>123</v>
      </c>
      <c r="Q43" s="156">
        <f t="shared" si="5"/>
        <v>2908</v>
      </c>
    </row>
    <row r="44" spans="1:17" ht="12.75">
      <c r="A44" s="17">
        <v>2005</v>
      </c>
      <c r="B44" s="212"/>
      <c r="C44" s="156">
        <f>4+4+2+4</f>
        <v>14</v>
      </c>
      <c r="D44" s="189">
        <f t="shared" si="0"/>
        <v>687</v>
      </c>
      <c r="E44" s="212"/>
      <c r="F44" s="155">
        <f>10+9+8+12</f>
        <v>39</v>
      </c>
      <c r="G44" s="187">
        <f t="shared" si="1"/>
        <v>728</v>
      </c>
      <c r="H44" s="215"/>
      <c r="I44" s="217">
        <f>12+15+9+17</f>
        <v>53</v>
      </c>
      <c r="J44" s="218"/>
      <c r="K44" s="148">
        <f t="shared" si="2"/>
        <v>1145</v>
      </c>
      <c r="L44" s="219"/>
      <c r="M44" s="150">
        <f>5+5+6+6</f>
        <v>22</v>
      </c>
      <c r="N44" s="148">
        <f t="shared" si="3"/>
        <v>476</v>
      </c>
      <c r="O44" s="214"/>
      <c r="P44" s="156">
        <f t="shared" si="4"/>
        <v>128</v>
      </c>
      <c r="Q44" s="156">
        <f t="shared" si="5"/>
        <v>3036</v>
      </c>
    </row>
    <row r="45" spans="1:20" ht="12.75">
      <c r="A45" s="17">
        <v>2006</v>
      </c>
      <c r="B45" s="212"/>
      <c r="C45" s="156">
        <f>6+6+3+7</f>
        <v>22</v>
      </c>
      <c r="D45" s="189">
        <f aca="true" t="shared" si="6" ref="D45:D50">D44+C45</f>
        <v>709</v>
      </c>
      <c r="E45" s="212"/>
      <c r="F45" s="155">
        <f>8+9+14+8</f>
        <v>39</v>
      </c>
      <c r="G45" s="187">
        <f aca="true" t="shared" si="7" ref="G45:G50">G44+F45</f>
        <v>767</v>
      </c>
      <c r="H45" s="212"/>
      <c r="I45" s="217">
        <f>17+15+7+18</f>
        <v>57</v>
      </c>
      <c r="J45" s="218"/>
      <c r="K45" s="148">
        <f aca="true" t="shared" si="8" ref="K45:K50">K44+I45</f>
        <v>1202</v>
      </c>
      <c r="L45" s="212"/>
      <c r="M45" s="150">
        <f>6+6+3+4</f>
        <v>19</v>
      </c>
      <c r="N45" s="148">
        <f aca="true" t="shared" si="9" ref="N45:N50">N44+M45</f>
        <v>495</v>
      </c>
      <c r="O45" s="212"/>
      <c r="P45" s="156">
        <f t="shared" si="4"/>
        <v>137</v>
      </c>
      <c r="Q45" s="156">
        <f aca="true" t="shared" si="10" ref="Q45:Q50">Q44+P45</f>
        <v>3173</v>
      </c>
      <c r="T45" s="157"/>
    </row>
    <row r="46" spans="1:17" ht="12.75">
      <c r="A46" s="17">
        <v>2007</v>
      </c>
      <c r="B46" s="212"/>
      <c r="C46" s="156">
        <f>12+7+5+3</f>
        <v>27</v>
      </c>
      <c r="D46" s="189">
        <f t="shared" si="6"/>
        <v>736</v>
      </c>
      <c r="E46" s="212"/>
      <c r="F46" s="156">
        <f>11+5+5+4</f>
        <v>25</v>
      </c>
      <c r="G46" s="187">
        <f t="shared" si="7"/>
        <v>792</v>
      </c>
      <c r="H46" s="212"/>
      <c r="I46" s="217">
        <f>11+9+17+19</f>
        <v>56</v>
      </c>
      <c r="J46" s="218"/>
      <c r="K46" s="148">
        <f t="shared" si="8"/>
        <v>1258</v>
      </c>
      <c r="L46" s="212"/>
      <c r="M46" s="220">
        <f>8+5+4+8</f>
        <v>25</v>
      </c>
      <c r="N46" s="148">
        <f t="shared" si="9"/>
        <v>520</v>
      </c>
      <c r="O46" s="212"/>
      <c r="P46" s="156">
        <f aca="true" t="shared" si="11" ref="P46:P51">C46+F46+I46+M46</f>
        <v>133</v>
      </c>
      <c r="Q46" s="156">
        <f t="shared" si="10"/>
        <v>3306</v>
      </c>
    </row>
    <row r="47" spans="1:17" ht="12.75">
      <c r="A47" s="17">
        <v>2008</v>
      </c>
      <c r="B47" s="212"/>
      <c r="C47" s="156">
        <v>32</v>
      </c>
      <c r="D47" s="189">
        <f t="shared" si="6"/>
        <v>768</v>
      </c>
      <c r="E47" s="212"/>
      <c r="F47" s="156">
        <v>35</v>
      </c>
      <c r="G47" s="187">
        <f t="shared" si="7"/>
        <v>827</v>
      </c>
      <c r="H47" s="212"/>
      <c r="I47" s="217">
        <v>61</v>
      </c>
      <c r="J47" s="218"/>
      <c r="K47" s="148">
        <f t="shared" si="8"/>
        <v>1319</v>
      </c>
      <c r="L47" s="212"/>
      <c r="M47" s="220">
        <v>24</v>
      </c>
      <c r="N47" s="148">
        <f t="shared" si="9"/>
        <v>544</v>
      </c>
      <c r="O47" s="212"/>
      <c r="P47" s="156">
        <f t="shared" si="11"/>
        <v>152</v>
      </c>
      <c r="Q47" s="156">
        <f t="shared" si="10"/>
        <v>3458</v>
      </c>
    </row>
    <row r="48" spans="1:17" ht="12.75">
      <c r="A48" s="17">
        <v>2009</v>
      </c>
      <c r="B48" s="212"/>
      <c r="C48" s="156">
        <f>5+7+2+7</f>
        <v>21</v>
      </c>
      <c r="D48" s="189">
        <f t="shared" si="6"/>
        <v>789</v>
      </c>
      <c r="E48" s="212"/>
      <c r="F48" s="156">
        <f>6+6+9+6</f>
        <v>27</v>
      </c>
      <c r="G48" s="187">
        <f t="shared" si="7"/>
        <v>854</v>
      </c>
      <c r="H48" s="216"/>
      <c r="I48" s="221">
        <f>15+13+10+17</f>
        <v>55</v>
      </c>
      <c r="J48" s="222"/>
      <c r="K48" s="189">
        <f t="shared" si="8"/>
        <v>1374</v>
      </c>
      <c r="L48" s="216"/>
      <c r="M48" s="223">
        <f>5+9+7+4</f>
        <v>25</v>
      </c>
      <c r="N48" s="189">
        <f t="shared" si="9"/>
        <v>569</v>
      </c>
      <c r="O48" s="216"/>
      <c r="P48" s="163">
        <f t="shared" si="11"/>
        <v>128</v>
      </c>
      <c r="Q48" s="163">
        <f t="shared" si="10"/>
        <v>3586</v>
      </c>
    </row>
    <row r="49" spans="1:17" ht="12.75">
      <c r="A49" s="164">
        <v>2010</v>
      </c>
      <c r="B49" s="212"/>
      <c r="C49" s="156">
        <f>7+8+9+5</f>
        <v>29</v>
      </c>
      <c r="D49" s="189">
        <f t="shared" si="6"/>
        <v>818</v>
      </c>
      <c r="E49" s="212"/>
      <c r="F49" s="156">
        <f>6+5+9+3</f>
        <v>23</v>
      </c>
      <c r="G49" s="187">
        <f t="shared" si="7"/>
        <v>877</v>
      </c>
      <c r="H49" s="216"/>
      <c r="I49" s="189">
        <f>7+11+10+17</f>
        <v>45</v>
      </c>
      <c r="J49" s="98" t="s">
        <v>39</v>
      </c>
      <c r="K49" s="189">
        <f t="shared" si="8"/>
        <v>1419</v>
      </c>
      <c r="L49" s="216"/>
      <c r="M49" s="223">
        <f>3+5+10+3</f>
        <v>21</v>
      </c>
      <c r="N49" s="189">
        <f t="shared" si="9"/>
        <v>590</v>
      </c>
      <c r="O49" s="216"/>
      <c r="P49" s="163">
        <f t="shared" si="11"/>
        <v>118</v>
      </c>
      <c r="Q49" s="163">
        <f t="shared" si="10"/>
        <v>3704</v>
      </c>
    </row>
    <row r="50" spans="1:17" s="170" customFormat="1" ht="12.75">
      <c r="A50" s="168">
        <v>2011</v>
      </c>
      <c r="B50" s="224"/>
      <c r="C50" s="147">
        <f>4+8+11+6</f>
        <v>29</v>
      </c>
      <c r="D50" s="169">
        <f t="shared" si="6"/>
        <v>847</v>
      </c>
      <c r="E50" s="224"/>
      <c r="F50" s="147">
        <f>9+10+9+8</f>
        <v>36</v>
      </c>
      <c r="G50" s="141">
        <f t="shared" si="7"/>
        <v>913</v>
      </c>
      <c r="H50" s="225"/>
      <c r="I50" s="169">
        <f>18+13+15+11</f>
        <v>57</v>
      </c>
      <c r="J50" s="98" t="s">
        <v>40</v>
      </c>
      <c r="K50" s="169">
        <f t="shared" si="8"/>
        <v>1476</v>
      </c>
      <c r="L50" s="225"/>
      <c r="M50" s="150">
        <f>3+6+3+9</f>
        <v>21</v>
      </c>
      <c r="N50" s="169">
        <f t="shared" si="9"/>
        <v>611</v>
      </c>
      <c r="O50" s="225"/>
      <c r="P50" s="155">
        <f t="shared" si="11"/>
        <v>143</v>
      </c>
      <c r="Q50" s="155">
        <f t="shared" si="10"/>
        <v>3847</v>
      </c>
    </row>
    <row r="51" spans="1:17" s="170" customFormat="1" ht="12.75">
      <c r="A51" s="168">
        <v>2012</v>
      </c>
      <c r="B51" s="224"/>
      <c r="C51" s="147">
        <f>2+5+7+8</f>
        <v>22</v>
      </c>
      <c r="D51" s="169">
        <f aca="true" t="shared" si="12" ref="D51:D56">D50+C51</f>
        <v>869</v>
      </c>
      <c r="E51" s="224"/>
      <c r="F51" s="147">
        <f>5+14+12+11</f>
        <v>42</v>
      </c>
      <c r="G51" s="141">
        <f aca="true" t="shared" si="13" ref="G51:G56">G50+F51</f>
        <v>955</v>
      </c>
      <c r="H51" s="225"/>
      <c r="I51" s="169">
        <f>17+6+17+16</f>
        <v>56</v>
      </c>
      <c r="J51" s="98" t="s">
        <v>39</v>
      </c>
      <c r="K51" s="169">
        <f aca="true" t="shared" si="14" ref="K51:K56">K50+I51</f>
        <v>1532</v>
      </c>
      <c r="L51" s="225"/>
      <c r="M51" s="150">
        <f>4+5+7+5</f>
        <v>21</v>
      </c>
      <c r="N51" s="169">
        <f aca="true" t="shared" si="15" ref="N51:N56">N50+M51</f>
        <v>632</v>
      </c>
      <c r="O51" s="225"/>
      <c r="P51" s="155">
        <f t="shared" si="11"/>
        <v>141</v>
      </c>
      <c r="Q51" s="155">
        <f aca="true" t="shared" si="16" ref="Q51:Q56">Q50+P51</f>
        <v>3988</v>
      </c>
    </row>
    <row r="52" spans="1:17" s="170" customFormat="1" ht="12.75">
      <c r="A52" s="168">
        <v>2013</v>
      </c>
      <c r="B52" s="224"/>
      <c r="C52" s="147">
        <f>6+5+6+9</f>
        <v>26</v>
      </c>
      <c r="D52" s="169">
        <f t="shared" si="12"/>
        <v>895</v>
      </c>
      <c r="E52" s="224"/>
      <c r="F52" s="147">
        <f>5+7+10+12</f>
        <v>34</v>
      </c>
      <c r="G52" s="141">
        <f t="shared" si="13"/>
        <v>989</v>
      </c>
      <c r="H52" s="225"/>
      <c r="I52" s="169">
        <f>16+11+17+16</f>
        <v>60</v>
      </c>
      <c r="J52" s="98" t="s">
        <v>20</v>
      </c>
      <c r="K52" s="169">
        <f t="shared" si="14"/>
        <v>1592</v>
      </c>
      <c r="L52" s="225"/>
      <c r="M52" s="150">
        <f>7+7+8+9</f>
        <v>31</v>
      </c>
      <c r="N52" s="169">
        <f t="shared" si="15"/>
        <v>663</v>
      </c>
      <c r="O52" s="225"/>
      <c r="P52" s="155">
        <f aca="true" t="shared" si="17" ref="P52:P57">C52+F52+I52+M52</f>
        <v>151</v>
      </c>
      <c r="Q52" s="155">
        <f t="shared" si="16"/>
        <v>4139</v>
      </c>
    </row>
    <row r="53" spans="1:17" s="170" customFormat="1" ht="12.75">
      <c r="A53" s="168">
        <v>2014</v>
      </c>
      <c r="B53" s="224"/>
      <c r="C53" s="147">
        <f>9+13+10+9</f>
        <v>41</v>
      </c>
      <c r="D53" s="169">
        <f t="shared" si="12"/>
        <v>936</v>
      </c>
      <c r="E53" s="224"/>
      <c r="F53" s="147">
        <f>7+15+6+15</f>
        <v>43</v>
      </c>
      <c r="G53" s="141">
        <f t="shared" si="13"/>
        <v>1032</v>
      </c>
      <c r="H53" s="225"/>
      <c r="I53" s="169">
        <f>10+13+14+18</f>
        <v>55</v>
      </c>
      <c r="J53" s="98" t="s">
        <v>39</v>
      </c>
      <c r="K53" s="169">
        <f t="shared" si="14"/>
        <v>1647</v>
      </c>
      <c r="L53" s="225"/>
      <c r="M53" s="150">
        <f>9+2+10+6</f>
        <v>27</v>
      </c>
      <c r="N53" s="169">
        <f t="shared" si="15"/>
        <v>690</v>
      </c>
      <c r="O53" s="225"/>
      <c r="P53" s="155">
        <f t="shared" si="17"/>
        <v>166</v>
      </c>
      <c r="Q53" s="155">
        <f t="shared" si="16"/>
        <v>4305</v>
      </c>
    </row>
    <row r="54" spans="1:17" s="170" customFormat="1" ht="12.75">
      <c r="A54" s="168">
        <v>2015</v>
      </c>
      <c r="B54" s="224"/>
      <c r="C54" s="147">
        <f>10+9+14+10</f>
        <v>43</v>
      </c>
      <c r="D54" s="169">
        <f t="shared" si="12"/>
        <v>979</v>
      </c>
      <c r="E54" s="224"/>
      <c r="F54" s="147">
        <f>12+9+10+7</f>
        <v>38</v>
      </c>
      <c r="G54" s="141">
        <f t="shared" si="13"/>
        <v>1070</v>
      </c>
      <c r="H54" s="225"/>
      <c r="I54" s="169">
        <f>20+13+14+19</f>
        <v>66</v>
      </c>
      <c r="J54" s="265" t="s">
        <v>44</v>
      </c>
      <c r="K54" s="169">
        <f t="shared" si="14"/>
        <v>1713</v>
      </c>
      <c r="L54" s="225"/>
      <c r="M54" s="150">
        <f>8+4+4+4</f>
        <v>20</v>
      </c>
      <c r="N54" s="169">
        <f t="shared" si="15"/>
        <v>710</v>
      </c>
      <c r="O54" s="225"/>
      <c r="P54" s="155">
        <f t="shared" si="17"/>
        <v>167</v>
      </c>
      <c r="Q54" s="155">
        <f t="shared" si="16"/>
        <v>4472</v>
      </c>
    </row>
    <row r="55" spans="1:17" s="170" customFormat="1" ht="12.75">
      <c r="A55" s="164">
        <v>2016</v>
      </c>
      <c r="B55" s="224"/>
      <c r="C55" s="147">
        <f>12+12+8+12</f>
        <v>44</v>
      </c>
      <c r="D55" s="169">
        <f t="shared" si="12"/>
        <v>1023</v>
      </c>
      <c r="E55" s="224"/>
      <c r="F55" s="147">
        <f>12+12+8+14</f>
        <v>46</v>
      </c>
      <c r="G55" s="141">
        <f t="shared" si="13"/>
        <v>1116</v>
      </c>
      <c r="H55" s="225"/>
      <c r="I55" s="169">
        <f>17+15+15+16</f>
        <v>63</v>
      </c>
      <c r="J55" s="265" t="s">
        <v>45</v>
      </c>
      <c r="K55" s="169">
        <f t="shared" si="14"/>
        <v>1776</v>
      </c>
      <c r="L55" s="225"/>
      <c r="M55" s="150">
        <f>10+8+8+6</f>
        <v>32</v>
      </c>
      <c r="N55" s="169">
        <f t="shared" si="15"/>
        <v>742</v>
      </c>
      <c r="O55" s="225"/>
      <c r="P55" s="155">
        <f t="shared" si="17"/>
        <v>185</v>
      </c>
      <c r="Q55" s="155">
        <f t="shared" si="16"/>
        <v>4657</v>
      </c>
    </row>
    <row r="56" spans="1:17" s="264" customFormat="1" ht="12.75">
      <c r="A56" s="164">
        <v>2017</v>
      </c>
      <c r="B56" s="212"/>
      <c r="C56" s="156">
        <f>14+10+10+12</f>
        <v>46</v>
      </c>
      <c r="D56" s="189">
        <f t="shared" si="12"/>
        <v>1069</v>
      </c>
      <c r="E56" s="212"/>
      <c r="F56" s="156">
        <f>7+8+10+14</f>
        <v>39</v>
      </c>
      <c r="G56" s="187">
        <f t="shared" si="13"/>
        <v>1155</v>
      </c>
      <c r="H56" s="216"/>
      <c r="I56" s="189">
        <f>15+18+11+15</f>
        <v>59</v>
      </c>
      <c r="J56" s="266" t="s">
        <v>47</v>
      </c>
      <c r="K56" s="189">
        <f t="shared" si="14"/>
        <v>1835</v>
      </c>
      <c r="L56" s="216"/>
      <c r="M56" s="223">
        <f>9+10+17+8</f>
        <v>44</v>
      </c>
      <c r="N56" s="189">
        <f t="shared" si="15"/>
        <v>786</v>
      </c>
      <c r="O56" s="216"/>
      <c r="P56" s="163">
        <f t="shared" si="17"/>
        <v>188</v>
      </c>
      <c r="Q56" s="163">
        <f t="shared" si="16"/>
        <v>4845</v>
      </c>
    </row>
    <row r="57" spans="1:17" s="264" customFormat="1" ht="12.75">
      <c r="A57" s="164">
        <v>2018</v>
      </c>
      <c r="B57" s="341">
        <f>3+2+0+1</f>
        <v>6</v>
      </c>
      <c r="C57" s="156">
        <f>12+8+3+14</f>
        <v>37</v>
      </c>
      <c r="D57" s="189">
        <f>D56+B57+C57</f>
        <v>1112</v>
      </c>
      <c r="E57" s="341">
        <f>2+0+0+1</f>
        <v>3</v>
      </c>
      <c r="F57" s="156">
        <f>9+9+8+10</f>
        <v>36</v>
      </c>
      <c r="G57" s="187">
        <f>G56+E57+F57</f>
        <v>1194</v>
      </c>
      <c r="H57" s="342">
        <f>0+1+0+0</f>
        <v>1</v>
      </c>
      <c r="I57" s="189">
        <f>11+9+29+13</f>
        <v>62</v>
      </c>
      <c r="J57" s="343" t="s">
        <v>62</v>
      </c>
      <c r="K57" s="189">
        <f>K56+H57+I57</f>
        <v>1898</v>
      </c>
      <c r="L57" s="342">
        <f>0+0+0+0</f>
        <v>0</v>
      </c>
      <c r="M57" s="223">
        <f>7+5+13+12</f>
        <v>37</v>
      </c>
      <c r="N57" s="189">
        <f>N56+L57+M57</f>
        <v>823</v>
      </c>
      <c r="O57" s="342">
        <f>B57+E57+H57+L57</f>
        <v>10</v>
      </c>
      <c r="P57" s="163">
        <f t="shared" si="17"/>
        <v>172</v>
      </c>
      <c r="Q57" s="163">
        <f>Q56+O57+P57</f>
        <v>5027</v>
      </c>
    </row>
    <row r="58" spans="1:17" ht="12.75">
      <c r="A58" s="164">
        <v>2019</v>
      </c>
      <c r="B58" s="341">
        <f>0+0+0+2</f>
        <v>2</v>
      </c>
      <c r="C58" s="156">
        <f>9+16+7+10</f>
        <v>42</v>
      </c>
      <c r="D58" s="189">
        <f>D57+B58+C58</f>
        <v>1156</v>
      </c>
      <c r="E58" s="341">
        <f>0+0+0+2</f>
        <v>2</v>
      </c>
      <c r="F58" s="156">
        <f>11+5+6+11</f>
        <v>33</v>
      </c>
      <c r="G58" s="187">
        <f>G57+E58+F58</f>
        <v>1229</v>
      </c>
      <c r="H58" s="342">
        <f>0+0+0+0</f>
        <v>0</v>
      </c>
      <c r="I58" s="189">
        <f>23+19+18+24</f>
        <v>84</v>
      </c>
      <c r="J58" s="343" t="s">
        <v>64</v>
      </c>
      <c r="K58" s="189">
        <f>K57+H58+I58</f>
        <v>1982</v>
      </c>
      <c r="L58" s="342"/>
      <c r="M58" s="223">
        <f>7+4+4+13</f>
        <v>28</v>
      </c>
      <c r="N58" s="189">
        <f>N57+L58+M58</f>
        <v>851</v>
      </c>
      <c r="O58" s="342">
        <f>B58+E58+H58+L58</f>
        <v>4</v>
      </c>
      <c r="P58" s="163">
        <f>C58+F58+I58+M58</f>
        <v>187</v>
      </c>
      <c r="Q58" s="163">
        <f>Q57+O58+P58</f>
        <v>5218</v>
      </c>
    </row>
    <row r="59" spans="1:17" s="345" customFormat="1" ht="12.75">
      <c r="A59" s="244">
        <v>2020</v>
      </c>
      <c r="B59" s="267">
        <f>2</f>
        <v>2</v>
      </c>
      <c r="C59" s="260">
        <f>15</f>
        <v>15</v>
      </c>
      <c r="D59" s="261">
        <f>D58+B59+C59</f>
        <v>1173</v>
      </c>
      <c r="E59" s="267">
        <f>1</f>
        <v>1</v>
      </c>
      <c r="F59" s="260">
        <f>13</f>
        <v>13</v>
      </c>
      <c r="G59" s="262">
        <f>G58+E59+F59</f>
        <v>1243</v>
      </c>
      <c r="H59" s="268">
        <f>0+0+0+0</f>
        <v>0</v>
      </c>
      <c r="I59" s="261">
        <f>13</f>
        <v>13</v>
      </c>
      <c r="J59" s="266" t="s">
        <v>67</v>
      </c>
      <c r="K59" s="261">
        <f>K58+H59+I59</f>
        <v>1995</v>
      </c>
      <c r="L59" s="268">
        <f>1</f>
        <v>1</v>
      </c>
      <c r="M59" s="344">
        <f>1</f>
        <v>1</v>
      </c>
      <c r="N59" s="261">
        <f>N58+L59+M59</f>
        <v>853</v>
      </c>
      <c r="O59" s="268">
        <f>B59+E59+H59+L59</f>
        <v>4</v>
      </c>
      <c r="P59" s="263">
        <f>C59+F59+I59+M59</f>
        <v>42</v>
      </c>
      <c r="Q59" s="263">
        <f>Q58+O59+P59</f>
        <v>5264</v>
      </c>
    </row>
    <row r="60" spans="1:17" ht="12.75">
      <c r="A60" s="17"/>
      <c r="B60" s="102"/>
      <c r="C60" s="29"/>
      <c r="D60" s="10"/>
      <c r="E60" s="8"/>
      <c r="F60" s="11"/>
      <c r="G60" s="40"/>
      <c r="H60" s="20"/>
      <c r="I60" s="35"/>
      <c r="K60" s="35"/>
      <c r="L60" s="37"/>
      <c r="M60" s="30"/>
      <c r="N60" s="35"/>
      <c r="O60" s="37"/>
      <c r="P60" s="30"/>
      <c r="Q60" s="30"/>
    </row>
    <row r="61" spans="1:17" ht="12.75">
      <c r="A61" s="17"/>
      <c r="B61" s="102"/>
      <c r="C61" s="29"/>
      <c r="D61" s="10"/>
      <c r="E61" s="8"/>
      <c r="F61" s="11"/>
      <c r="G61" s="40"/>
      <c r="H61" s="20"/>
      <c r="I61" s="35"/>
      <c r="K61" s="35"/>
      <c r="L61" s="37"/>
      <c r="M61" s="30"/>
      <c r="N61" s="35"/>
      <c r="O61" s="37"/>
      <c r="P61" s="30"/>
      <c r="Q61" s="30"/>
    </row>
    <row r="62" spans="1:17" ht="12.75">
      <c r="A62" s="17"/>
      <c r="B62" s="102"/>
      <c r="C62" s="29"/>
      <c r="D62" s="109"/>
      <c r="E62" s="8"/>
      <c r="F62" s="11"/>
      <c r="G62" s="40"/>
      <c r="H62" s="20"/>
      <c r="I62" s="35"/>
      <c r="K62" s="35"/>
      <c r="L62" s="37"/>
      <c r="M62" s="30"/>
      <c r="N62" s="35"/>
      <c r="O62" s="37"/>
      <c r="P62" s="30"/>
      <c r="Q62" s="30"/>
    </row>
    <row r="63" spans="1:17" ht="12.75">
      <c r="A63" s="17"/>
      <c r="B63" s="102"/>
      <c r="C63" s="29"/>
      <c r="D63" s="109"/>
      <c r="E63" s="8"/>
      <c r="F63" s="11"/>
      <c r="G63" s="40"/>
      <c r="H63" s="20"/>
      <c r="I63" s="35"/>
      <c r="K63" s="35"/>
      <c r="L63" s="37"/>
      <c r="M63" s="30"/>
      <c r="N63" s="35"/>
      <c r="O63" s="37"/>
      <c r="P63" s="30"/>
      <c r="Q63" s="30"/>
    </row>
    <row r="64" spans="1:17" ht="12.75">
      <c r="A64" s="17"/>
      <c r="B64" s="102"/>
      <c r="C64" s="29"/>
      <c r="D64" s="109"/>
      <c r="E64" s="8"/>
      <c r="F64" s="11"/>
      <c r="G64" s="40"/>
      <c r="H64" s="20"/>
      <c r="I64" s="35"/>
      <c r="K64" s="35"/>
      <c r="L64" s="37"/>
      <c r="M64" s="30"/>
      <c r="N64" s="35"/>
      <c r="O64" s="37"/>
      <c r="P64" s="30"/>
      <c r="Q64" s="30"/>
    </row>
    <row r="65" spans="1:17" ht="12.75">
      <c r="A65" s="17"/>
      <c r="B65" s="102"/>
      <c r="C65" s="29"/>
      <c r="D65" s="109"/>
      <c r="E65" s="8"/>
      <c r="F65" s="11"/>
      <c r="G65" s="40"/>
      <c r="H65" s="20"/>
      <c r="I65" s="35"/>
      <c r="K65" s="35"/>
      <c r="L65" s="37"/>
      <c r="M65" s="30"/>
      <c r="N65" s="35"/>
      <c r="O65" s="37"/>
      <c r="P65" s="30"/>
      <c r="Q65" s="30"/>
    </row>
    <row r="66" spans="1:17" ht="12.75">
      <c r="A66" s="17"/>
      <c r="B66" s="102"/>
      <c r="C66" s="29"/>
      <c r="D66" s="109"/>
      <c r="E66" s="8"/>
      <c r="F66" s="11"/>
      <c r="G66" s="40"/>
      <c r="H66" s="20"/>
      <c r="I66" s="35"/>
      <c r="K66" s="35"/>
      <c r="L66" s="37"/>
      <c r="M66" s="30"/>
      <c r="N66" s="35"/>
      <c r="O66" s="37"/>
      <c r="P66" s="30"/>
      <c r="Q66" s="30"/>
    </row>
    <row r="67" spans="1:17" ht="12.75">
      <c r="A67" s="17"/>
      <c r="B67" s="102"/>
      <c r="C67" s="29"/>
      <c r="D67" s="109"/>
      <c r="E67" s="8"/>
      <c r="F67" s="11"/>
      <c r="G67" s="40"/>
      <c r="H67" s="20"/>
      <c r="I67" s="35"/>
      <c r="K67" s="35"/>
      <c r="L67" s="37"/>
      <c r="M67" s="30"/>
      <c r="N67" s="35"/>
      <c r="O67" s="37"/>
      <c r="P67" s="30"/>
      <c r="Q67" s="30"/>
    </row>
    <row r="68" spans="1:17" ht="12.75">
      <c r="A68" s="17"/>
      <c r="B68" s="102"/>
      <c r="C68" s="29"/>
      <c r="D68" s="109"/>
      <c r="E68" s="8"/>
      <c r="F68" s="11"/>
      <c r="G68" s="40"/>
      <c r="H68" s="20"/>
      <c r="I68" s="35"/>
      <c r="K68" s="35"/>
      <c r="L68" s="37"/>
      <c r="M68" s="30"/>
      <c r="N68" s="35"/>
      <c r="O68" s="37"/>
      <c r="P68" s="30"/>
      <c r="Q68" s="30"/>
    </row>
    <row r="69" spans="1:17" ht="12.75">
      <c r="A69" s="17"/>
      <c r="B69" s="102"/>
      <c r="C69" s="29"/>
      <c r="D69" s="109"/>
      <c r="E69" s="8"/>
      <c r="F69" s="11"/>
      <c r="G69" s="40"/>
      <c r="H69" s="20"/>
      <c r="I69" s="35"/>
      <c r="K69" s="35"/>
      <c r="L69" s="37"/>
      <c r="M69" s="30"/>
      <c r="N69" s="35"/>
      <c r="O69" s="37"/>
      <c r="P69" s="30"/>
      <c r="Q69" s="30"/>
    </row>
    <row r="70" spans="1:17" ht="12.75">
      <c r="A70" s="17"/>
      <c r="B70" s="102"/>
      <c r="C70" s="29"/>
      <c r="D70" s="109"/>
      <c r="E70" s="8"/>
      <c r="F70" s="11"/>
      <c r="G70" s="40"/>
      <c r="H70" s="20"/>
      <c r="I70" s="35"/>
      <c r="K70" s="35"/>
      <c r="L70" s="37"/>
      <c r="M70" s="30"/>
      <c r="N70" s="35"/>
      <c r="O70" s="37"/>
      <c r="P70" s="30"/>
      <c r="Q70" s="30"/>
    </row>
    <row r="71" spans="1:17" ht="12.75">
      <c r="A71" s="17"/>
      <c r="B71" s="102"/>
      <c r="C71" s="29"/>
      <c r="D71" s="109"/>
      <c r="E71" s="8"/>
      <c r="F71" s="11"/>
      <c r="G71" s="40"/>
      <c r="H71" s="20"/>
      <c r="I71" s="35"/>
      <c r="K71" s="35"/>
      <c r="L71" s="37"/>
      <c r="M71" s="30"/>
      <c r="N71" s="35"/>
      <c r="O71" s="37"/>
      <c r="P71" s="30"/>
      <c r="Q71" s="30"/>
    </row>
    <row r="72" spans="1:17" ht="12.75">
      <c r="A72" s="18"/>
      <c r="B72" s="103"/>
      <c r="C72" s="32"/>
      <c r="D72" s="110"/>
      <c r="E72" s="13"/>
      <c r="F72" s="15"/>
      <c r="G72" s="41"/>
      <c r="H72" s="21"/>
      <c r="I72" s="36"/>
      <c r="J72" s="101"/>
      <c r="K72" s="36"/>
      <c r="L72" s="38"/>
      <c r="M72" s="33"/>
      <c r="N72" s="36"/>
      <c r="O72" s="38"/>
      <c r="P72" s="33"/>
      <c r="Q72" s="33"/>
    </row>
    <row r="73" spans="3:4" ht="12.75">
      <c r="C73" s="100"/>
      <c r="D73" s="100"/>
    </row>
    <row r="74" spans="1:4" ht="12.75">
      <c r="A74" s="139" t="s">
        <v>35</v>
      </c>
      <c r="C74" s="100"/>
      <c r="D74" s="100"/>
    </row>
    <row r="75" spans="3:4" ht="12.75">
      <c r="C75" s="100"/>
      <c r="D75" s="100"/>
    </row>
    <row r="76" spans="3:4" ht="12.75">
      <c r="C76" s="100"/>
      <c r="D76" s="100"/>
    </row>
    <row r="77" spans="3:4" ht="12.75">
      <c r="C77" s="100"/>
      <c r="D77" s="100"/>
    </row>
  </sheetData>
  <sheetProtection/>
  <mergeCells count="5">
    <mergeCell ref="O1:Q1"/>
    <mergeCell ref="B1:D1"/>
    <mergeCell ref="E1:G1"/>
    <mergeCell ref="H1:K1"/>
    <mergeCell ref="L1:N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N75"/>
  <sheetViews>
    <sheetView showGridLines="0" zoomScalePageLayoutView="0" workbookViewId="0" topLeftCell="A1">
      <pane ySplit="1515" topLeftCell="A46" activePane="bottomLeft" state="split"/>
      <selection pane="topLeft" activeCell="B61" sqref="B61"/>
      <selection pane="bottomLeft" activeCell="J63" sqref="J63"/>
    </sheetView>
  </sheetViews>
  <sheetFormatPr defaultColWidth="9.140625" defaultRowHeight="12.75"/>
  <cols>
    <col min="1" max="1" width="5.8515625" style="337" customWidth="1"/>
    <col min="2" max="2" width="7.7109375" style="338" customWidth="1"/>
    <col min="3" max="6" width="7.7109375" style="302" customWidth="1"/>
    <col min="7" max="7" width="6.7109375" style="302" customWidth="1"/>
    <col min="8" max="11" width="7.7109375" style="302" customWidth="1"/>
    <col min="12" max="16384" width="9.140625" style="288" customWidth="1"/>
  </cols>
  <sheetData>
    <row r="1" spans="1:11" s="277" customFormat="1" ht="20.25" customHeight="1">
      <c r="A1" s="276"/>
      <c r="B1" s="387" t="s">
        <v>4</v>
      </c>
      <c r="C1" s="388"/>
      <c r="D1" s="387" t="s">
        <v>5</v>
      </c>
      <c r="E1" s="388"/>
      <c r="F1" s="387" t="s">
        <v>6</v>
      </c>
      <c r="G1" s="388"/>
      <c r="H1" s="387" t="s">
        <v>7</v>
      </c>
      <c r="I1" s="388"/>
      <c r="J1" s="387" t="s">
        <v>8</v>
      </c>
      <c r="K1" s="388"/>
    </row>
    <row r="2" spans="1:11" s="281" customFormat="1" ht="42.75" customHeight="1" thickBot="1">
      <c r="A2" s="278" t="s">
        <v>9</v>
      </c>
      <c r="B2" s="279" t="s">
        <v>60</v>
      </c>
      <c r="C2" s="280" t="s">
        <v>61</v>
      </c>
      <c r="D2" s="279" t="s">
        <v>60</v>
      </c>
      <c r="E2" s="280" t="s">
        <v>61</v>
      </c>
      <c r="F2" s="279" t="s">
        <v>60</v>
      </c>
      <c r="G2" s="280" t="s">
        <v>61</v>
      </c>
      <c r="H2" s="279" t="s">
        <v>60</v>
      </c>
      <c r="I2" s="280" t="s">
        <v>61</v>
      </c>
      <c r="J2" s="279" t="s">
        <v>60</v>
      </c>
      <c r="K2" s="280" t="s">
        <v>61</v>
      </c>
    </row>
    <row r="3" spans="1:11" ht="17.25" customHeight="1" thickTop="1">
      <c r="A3" s="282">
        <v>1964</v>
      </c>
      <c r="B3" s="283"/>
      <c r="C3" s="284"/>
      <c r="D3" s="285"/>
      <c r="E3" s="284"/>
      <c r="F3" s="285"/>
      <c r="G3" s="286"/>
      <c r="H3" s="287"/>
      <c r="I3" s="284"/>
      <c r="J3" s="287"/>
      <c r="K3" s="284"/>
    </row>
    <row r="4" spans="1:11" ht="12.75">
      <c r="A4" s="282">
        <v>1965</v>
      </c>
      <c r="B4" s="283"/>
      <c r="C4" s="284"/>
      <c r="D4" s="285"/>
      <c r="E4" s="284"/>
      <c r="F4" s="285"/>
      <c r="G4" s="286"/>
      <c r="H4" s="287"/>
      <c r="I4" s="284"/>
      <c r="J4" s="287"/>
      <c r="K4" s="284"/>
    </row>
    <row r="5" spans="1:11" ht="12.75">
      <c r="A5" s="282">
        <v>1966</v>
      </c>
      <c r="B5" s="283"/>
      <c r="C5" s="284"/>
      <c r="D5" s="285"/>
      <c r="E5" s="284"/>
      <c r="F5" s="285"/>
      <c r="G5" s="286"/>
      <c r="H5" s="287"/>
      <c r="I5" s="284"/>
      <c r="J5" s="287"/>
      <c r="K5" s="284"/>
    </row>
    <row r="6" spans="1:11" ht="12.75">
      <c r="A6" s="282">
        <v>1967</v>
      </c>
      <c r="B6" s="283"/>
      <c r="C6" s="284"/>
      <c r="D6" s="285"/>
      <c r="E6" s="284"/>
      <c r="F6" s="285"/>
      <c r="G6" s="286"/>
      <c r="H6" s="287"/>
      <c r="I6" s="284"/>
      <c r="J6" s="287"/>
      <c r="K6" s="284"/>
    </row>
    <row r="7" spans="1:11" ht="12.75">
      <c r="A7" s="282">
        <v>1968</v>
      </c>
      <c r="B7" s="283"/>
      <c r="C7" s="284"/>
      <c r="D7" s="285"/>
      <c r="E7" s="284"/>
      <c r="F7" s="285"/>
      <c r="G7" s="286"/>
      <c r="H7" s="287"/>
      <c r="I7" s="284"/>
      <c r="J7" s="287"/>
      <c r="K7" s="284"/>
    </row>
    <row r="8" spans="1:11" ht="12.75">
      <c r="A8" s="282">
        <v>1969</v>
      </c>
      <c r="B8" s="283"/>
      <c r="C8" s="284"/>
      <c r="D8" s="285"/>
      <c r="E8" s="284"/>
      <c r="F8" s="285"/>
      <c r="G8" s="286"/>
      <c r="H8" s="287"/>
      <c r="I8" s="284"/>
      <c r="J8" s="287"/>
      <c r="K8" s="284"/>
    </row>
    <row r="9" spans="1:11" ht="12.75">
      <c r="A9" s="282">
        <v>1970</v>
      </c>
      <c r="B9" s="283"/>
      <c r="C9" s="284"/>
      <c r="D9" s="285"/>
      <c r="E9" s="284"/>
      <c r="F9" s="285"/>
      <c r="G9" s="286"/>
      <c r="H9" s="287"/>
      <c r="I9" s="284"/>
      <c r="J9" s="287"/>
      <c r="K9" s="284"/>
    </row>
    <row r="10" spans="1:11" ht="12.75">
      <c r="A10" s="282">
        <v>1971</v>
      </c>
      <c r="B10" s="283"/>
      <c r="C10" s="284"/>
      <c r="D10" s="285"/>
      <c r="E10" s="284"/>
      <c r="F10" s="285"/>
      <c r="G10" s="286"/>
      <c r="H10" s="287"/>
      <c r="I10" s="284"/>
      <c r="J10" s="287"/>
      <c r="K10" s="284"/>
    </row>
    <row r="11" spans="1:11" ht="12.75">
      <c r="A11" s="282">
        <v>1972</v>
      </c>
      <c r="B11" s="283"/>
      <c r="C11" s="284"/>
      <c r="D11" s="285"/>
      <c r="E11" s="284"/>
      <c r="F11" s="285"/>
      <c r="G11" s="286"/>
      <c r="H11" s="287"/>
      <c r="I11" s="284"/>
      <c r="J11" s="287"/>
      <c r="K11" s="284"/>
    </row>
    <row r="12" spans="1:11" ht="12.75">
      <c r="A12" s="282">
        <v>1973</v>
      </c>
      <c r="B12" s="283"/>
      <c r="C12" s="284"/>
      <c r="D12" s="285"/>
      <c r="E12" s="284"/>
      <c r="F12" s="285"/>
      <c r="G12" s="286"/>
      <c r="H12" s="287"/>
      <c r="I12" s="284"/>
      <c r="J12" s="287"/>
      <c r="K12" s="284"/>
    </row>
    <row r="13" spans="1:11" ht="12.75">
      <c r="A13" s="282">
        <v>1974</v>
      </c>
      <c r="B13" s="283"/>
      <c r="C13" s="284"/>
      <c r="D13" s="285"/>
      <c r="E13" s="284"/>
      <c r="F13" s="285"/>
      <c r="G13" s="286"/>
      <c r="H13" s="287"/>
      <c r="I13" s="284"/>
      <c r="J13" s="287"/>
      <c r="K13" s="284"/>
    </row>
    <row r="14" spans="1:11" ht="12.75">
      <c r="A14" s="282">
        <v>1975</v>
      </c>
      <c r="B14" s="283"/>
      <c r="C14" s="284"/>
      <c r="D14" s="285"/>
      <c r="E14" s="284"/>
      <c r="F14" s="285"/>
      <c r="G14" s="286"/>
      <c r="H14" s="287"/>
      <c r="I14" s="284"/>
      <c r="J14" s="287"/>
      <c r="K14" s="284"/>
    </row>
    <row r="15" spans="1:11" ht="12.75">
      <c r="A15" s="282">
        <v>1976</v>
      </c>
      <c r="B15" s="283"/>
      <c r="C15" s="284"/>
      <c r="D15" s="285"/>
      <c r="E15" s="284"/>
      <c r="F15" s="285"/>
      <c r="G15" s="286"/>
      <c r="H15" s="287"/>
      <c r="I15" s="284"/>
      <c r="J15" s="287"/>
      <c r="K15" s="284"/>
    </row>
    <row r="16" spans="1:11" ht="12.75">
      <c r="A16" s="282">
        <v>1977</v>
      </c>
      <c r="B16" s="283"/>
      <c r="C16" s="284"/>
      <c r="D16" s="285"/>
      <c r="E16" s="284"/>
      <c r="F16" s="285"/>
      <c r="G16" s="286"/>
      <c r="H16" s="287"/>
      <c r="I16" s="284"/>
      <c r="J16" s="287"/>
      <c r="K16" s="284"/>
    </row>
    <row r="17" spans="1:11" ht="12.75">
      <c r="A17" s="282">
        <v>1978</v>
      </c>
      <c r="B17" s="283"/>
      <c r="C17" s="284"/>
      <c r="D17" s="285"/>
      <c r="E17" s="284"/>
      <c r="F17" s="285"/>
      <c r="G17" s="286"/>
      <c r="H17" s="287"/>
      <c r="I17" s="284"/>
      <c r="J17" s="289"/>
      <c r="K17" s="284"/>
    </row>
    <row r="18" spans="1:11" ht="12.75">
      <c r="A18" s="282">
        <v>1979</v>
      </c>
      <c r="B18" s="283"/>
      <c r="C18" s="284"/>
      <c r="D18" s="285"/>
      <c r="E18" s="284"/>
      <c r="F18" s="285"/>
      <c r="G18" s="286"/>
      <c r="H18" s="287"/>
      <c r="I18" s="284"/>
      <c r="J18" s="289"/>
      <c r="K18" s="284"/>
    </row>
    <row r="19" spans="1:11" ht="12.75">
      <c r="A19" s="282">
        <v>1980</v>
      </c>
      <c r="B19" s="283"/>
      <c r="C19" s="284"/>
      <c r="D19" s="285"/>
      <c r="E19" s="284"/>
      <c r="F19" s="285"/>
      <c r="G19" s="286"/>
      <c r="H19" s="287"/>
      <c r="I19" s="284"/>
      <c r="J19" s="289"/>
      <c r="K19" s="284"/>
    </row>
    <row r="20" spans="1:11" ht="12.75">
      <c r="A20" s="282">
        <v>1981</v>
      </c>
      <c r="B20" s="283"/>
      <c r="C20" s="284"/>
      <c r="D20" s="285"/>
      <c r="E20" s="284"/>
      <c r="F20" s="285"/>
      <c r="G20" s="286"/>
      <c r="H20" s="287"/>
      <c r="I20" s="284"/>
      <c r="J20" s="290"/>
      <c r="K20" s="284"/>
    </row>
    <row r="21" spans="1:11" ht="12.75">
      <c r="A21" s="282">
        <v>1982</v>
      </c>
      <c r="B21" s="283"/>
      <c r="C21" s="284"/>
      <c r="D21" s="285"/>
      <c r="E21" s="284"/>
      <c r="F21" s="285"/>
      <c r="G21" s="286"/>
      <c r="H21" s="287"/>
      <c r="I21" s="284"/>
      <c r="J21" s="290"/>
      <c r="K21" s="284"/>
    </row>
    <row r="22" spans="1:11" ht="12.75">
      <c r="A22" s="282">
        <v>1983</v>
      </c>
      <c r="B22" s="283"/>
      <c r="C22" s="284"/>
      <c r="D22" s="285"/>
      <c r="E22" s="284"/>
      <c r="F22" s="285"/>
      <c r="G22" s="286"/>
      <c r="H22" s="287"/>
      <c r="I22" s="284"/>
      <c r="J22" s="290"/>
      <c r="K22" s="284"/>
    </row>
    <row r="23" spans="1:11" ht="12.75">
      <c r="A23" s="282">
        <v>1984</v>
      </c>
      <c r="B23" s="283"/>
      <c r="C23" s="284"/>
      <c r="D23" s="285"/>
      <c r="E23" s="284"/>
      <c r="F23" s="285"/>
      <c r="G23" s="286"/>
      <c r="H23" s="287"/>
      <c r="I23" s="284"/>
      <c r="J23" s="290"/>
      <c r="K23" s="284"/>
    </row>
    <row r="24" spans="1:11" ht="12.75">
      <c r="A24" s="282">
        <v>1985</v>
      </c>
      <c r="B24" s="283"/>
      <c r="C24" s="284"/>
      <c r="D24" s="285"/>
      <c r="E24" s="284"/>
      <c r="F24" s="285"/>
      <c r="G24" s="286"/>
      <c r="H24" s="287"/>
      <c r="I24" s="284"/>
      <c r="J24" s="290"/>
      <c r="K24" s="284"/>
    </row>
    <row r="25" spans="1:11" ht="12.75">
      <c r="A25" s="282">
        <v>1986</v>
      </c>
      <c r="B25" s="283"/>
      <c r="C25" s="284"/>
      <c r="D25" s="285"/>
      <c r="E25" s="284"/>
      <c r="F25" s="285"/>
      <c r="G25" s="286"/>
      <c r="H25" s="287"/>
      <c r="I25" s="284"/>
      <c r="J25" s="290"/>
      <c r="K25" s="284"/>
    </row>
    <row r="26" spans="1:11" ht="12.75">
      <c r="A26" s="282">
        <v>1987</v>
      </c>
      <c r="B26" s="283"/>
      <c r="C26" s="284"/>
      <c r="D26" s="285"/>
      <c r="E26" s="284"/>
      <c r="F26" s="285"/>
      <c r="G26" s="286"/>
      <c r="H26" s="287"/>
      <c r="I26" s="284"/>
      <c r="J26" s="290"/>
      <c r="K26" s="284"/>
    </row>
    <row r="27" spans="1:11" ht="12.75">
      <c r="A27" s="282">
        <v>1988</v>
      </c>
      <c r="B27" s="283"/>
      <c r="C27" s="284"/>
      <c r="D27" s="285"/>
      <c r="E27" s="284"/>
      <c r="F27" s="285"/>
      <c r="G27" s="286"/>
      <c r="H27" s="287"/>
      <c r="I27" s="284"/>
      <c r="J27" s="290"/>
      <c r="K27" s="284"/>
    </row>
    <row r="28" spans="1:11" ht="12.75">
      <c r="A28" s="282">
        <v>1989</v>
      </c>
      <c r="B28" s="283"/>
      <c r="C28" s="284"/>
      <c r="D28" s="285"/>
      <c r="E28" s="284"/>
      <c r="F28" s="285"/>
      <c r="G28" s="286"/>
      <c r="H28" s="287"/>
      <c r="I28" s="284"/>
      <c r="J28" s="290"/>
      <c r="K28" s="284"/>
    </row>
    <row r="29" spans="1:11" ht="12.75">
      <c r="A29" s="282">
        <v>1990</v>
      </c>
      <c r="B29" s="283"/>
      <c r="C29" s="284"/>
      <c r="D29" s="285"/>
      <c r="E29" s="284"/>
      <c r="F29" s="285"/>
      <c r="G29" s="286"/>
      <c r="H29" s="287"/>
      <c r="I29" s="284"/>
      <c r="J29" s="290"/>
      <c r="K29" s="284"/>
    </row>
    <row r="30" spans="1:11" ht="12.75">
      <c r="A30" s="282">
        <v>1991</v>
      </c>
      <c r="B30" s="283"/>
      <c r="C30" s="284"/>
      <c r="D30" s="285"/>
      <c r="E30" s="284"/>
      <c r="F30" s="285"/>
      <c r="G30" s="286"/>
      <c r="H30" s="287"/>
      <c r="I30" s="284"/>
      <c r="J30" s="290"/>
      <c r="K30" s="284"/>
    </row>
    <row r="31" spans="1:11" ht="12.75">
      <c r="A31" s="282">
        <v>1992</v>
      </c>
      <c r="B31" s="283"/>
      <c r="C31" s="284"/>
      <c r="D31" s="285"/>
      <c r="E31" s="284"/>
      <c r="F31" s="285"/>
      <c r="G31" s="286"/>
      <c r="H31" s="287"/>
      <c r="I31" s="284"/>
      <c r="J31" s="290"/>
      <c r="K31" s="284"/>
    </row>
    <row r="32" spans="1:11" ht="12.75">
      <c r="A32" s="282">
        <v>1993</v>
      </c>
      <c r="B32" s="283"/>
      <c r="C32" s="284"/>
      <c r="D32" s="285"/>
      <c r="E32" s="284"/>
      <c r="F32" s="285"/>
      <c r="G32" s="286"/>
      <c r="H32" s="287"/>
      <c r="I32" s="284"/>
      <c r="J32" s="290"/>
      <c r="K32" s="284"/>
    </row>
    <row r="33" spans="1:11" ht="12.75">
      <c r="A33" s="282">
        <v>1994</v>
      </c>
      <c r="B33" s="283"/>
      <c r="C33" s="284"/>
      <c r="D33" s="285"/>
      <c r="E33" s="284"/>
      <c r="F33" s="285"/>
      <c r="G33" s="286"/>
      <c r="H33" s="287"/>
      <c r="I33" s="284"/>
      <c r="J33" s="290"/>
      <c r="K33" s="284"/>
    </row>
    <row r="34" spans="1:11" ht="12.75">
      <c r="A34" s="282">
        <v>1995</v>
      </c>
      <c r="B34" s="283"/>
      <c r="C34" s="284"/>
      <c r="D34" s="285"/>
      <c r="E34" s="284"/>
      <c r="F34" s="285"/>
      <c r="G34" s="286"/>
      <c r="H34" s="287"/>
      <c r="I34" s="284"/>
      <c r="J34" s="290"/>
      <c r="K34" s="284"/>
    </row>
    <row r="35" spans="1:11" ht="12.75">
      <c r="A35" s="282">
        <v>1996</v>
      </c>
      <c r="B35" s="283"/>
      <c r="C35" s="284"/>
      <c r="D35" s="285"/>
      <c r="E35" s="284"/>
      <c r="F35" s="285"/>
      <c r="G35" s="286"/>
      <c r="H35" s="287"/>
      <c r="I35" s="284"/>
      <c r="J35" s="290"/>
      <c r="K35" s="284"/>
    </row>
    <row r="36" spans="1:11" ht="12.75">
      <c r="A36" s="282">
        <v>1997</v>
      </c>
      <c r="B36" s="283"/>
      <c r="C36" s="284"/>
      <c r="D36" s="285"/>
      <c r="E36" s="284"/>
      <c r="F36" s="285"/>
      <c r="G36" s="286"/>
      <c r="H36" s="287"/>
      <c r="I36" s="284"/>
      <c r="J36" s="290"/>
      <c r="K36" s="284"/>
    </row>
    <row r="37" spans="1:11" ht="12.75">
      <c r="A37" s="282">
        <v>1998</v>
      </c>
      <c r="B37" s="283"/>
      <c r="C37" s="284"/>
      <c r="D37" s="285"/>
      <c r="E37" s="284"/>
      <c r="F37" s="285"/>
      <c r="G37" s="286"/>
      <c r="H37" s="287"/>
      <c r="I37" s="284"/>
      <c r="J37" s="290"/>
      <c r="K37" s="284"/>
    </row>
    <row r="38" spans="1:11" ht="12.75">
      <c r="A38" s="291">
        <v>1999</v>
      </c>
      <c r="B38" s="292"/>
      <c r="C38" s="293"/>
      <c r="D38" s="294"/>
      <c r="E38" s="293"/>
      <c r="F38" s="294"/>
      <c r="G38" s="295"/>
      <c r="H38" s="296"/>
      <c r="I38" s="293"/>
      <c r="J38" s="297"/>
      <c r="K38" s="293"/>
    </row>
    <row r="39" spans="1:11" s="302" customFormat="1" ht="17.25" customHeight="1">
      <c r="A39" s="282">
        <v>2000</v>
      </c>
      <c r="B39" s="298">
        <v>12.1</v>
      </c>
      <c r="C39" s="299">
        <v>14</v>
      </c>
      <c r="D39" s="298">
        <v>15.3</v>
      </c>
      <c r="E39" s="299">
        <v>12</v>
      </c>
      <c r="F39" s="298">
        <v>9.7</v>
      </c>
      <c r="G39" s="300">
        <v>9</v>
      </c>
      <c r="H39" s="301">
        <v>8.8</v>
      </c>
      <c r="I39" s="299">
        <v>8</v>
      </c>
      <c r="J39" s="301">
        <v>10.9</v>
      </c>
      <c r="K39" s="299">
        <v>10</v>
      </c>
    </row>
    <row r="40" spans="1:11" ht="12.75">
      <c r="A40" s="282">
        <v>2001</v>
      </c>
      <c r="B40" s="303">
        <v>10.5</v>
      </c>
      <c r="C40" s="299">
        <v>12</v>
      </c>
      <c r="D40" s="298">
        <v>16.8</v>
      </c>
      <c r="E40" s="299">
        <v>15</v>
      </c>
      <c r="F40" s="298">
        <v>11.1</v>
      </c>
      <c r="G40" s="300">
        <v>10</v>
      </c>
      <c r="H40" s="301">
        <v>10.6</v>
      </c>
      <c r="I40" s="299">
        <v>10</v>
      </c>
      <c r="J40" s="301">
        <v>12.1</v>
      </c>
      <c r="K40" s="299">
        <v>12</v>
      </c>
    </row>
    <row r="41" spans="1:11" ht="12.75">
      <c r="A41" s="282">
        <v>2002</v>
      </c>
      <c r="B41" s="303">
        <v>10.1</v>
      </c>
      <c r="C41" s="299">
        <v>13</v>
      </c>
      <c r="D41" s="298">
        <v>10.1</v>
      </c>
      <c r="E41" s="299">
        <v>9</v>
      </c>
      <c r="F41" s="298">
        <v>10.3</v>
      </c>
      <c r="G41" s="300">
        <v>9</v>
      </c>
      <c r="H41" s="301">
        <v>12.5</v>
      </c>
      <c r="I41" s="299">
        <v>12</v>
      </c>
      <c r="J41" s="301">
        <v>11</v>
      </c>
      <c r="K41" s="299">
        <v>10</v>
      </c>
    </row>
    <row r="42" spans="1:11" ht="12.75">
      <c r="A42" s="282">
        <v>2003</v>
      </c>
      <c r="B42" s="303">
        <v>11.6</v>
      </c>
      <c r="C42" s="299">
        <v>13</v>
      </c>
      <c r="D42" s="298">
        <v>16.3</v>
      </c>
      <c r="E42" s="299">
        <v>14</v>
      </c>
      <c r="F42" s="298">
        <v>12.6</v>
      </c>
      <c r="G42" s="300">
        <v>12</v>
      </c>
      <c r="H42" s="301">
        <v>10.6</v>
      </c>
      <c r="I42" s="299">
        <v>10</v>
      </c>
      <c r="J42" s="301">
        <v>12.7</v>
      </c>
      <c r="K42" s="299">
        <v>12</v>
      </c>
    </row>
    <row r="43" spans="1:11" ht="12.75">
      <c r="A43" s="282">
        <v>2004</v>
      </c>
      <c r="B43" s="298">
        <v>10.3</v>
      </c>
      <c r="C43" s="304">
        <v>12</v>
      </c>
      <c r="D43" s="305">
        <v>21</v>
      </c>
      <c r="E43" s="304">
        <v>20</v>
      </c>
      <c r="F43" s="298">
        <v>14.6</v>
      </c>
      <c r="G43" s="300">
        <v>14</v>
      </c>
      <c r="H43" s="301">
        <v>6.6</v>
      </c>
      <c r="I43" s="299">
        <v>7</v>
      </c>
      <c r="J43" s="301">
        <v>13.7</v>
      </c>
      <c r="K43" s="299">
        <v>14</v>
      </c>
    </row>
    <row r="44" spans="1:11" ht="12.75">
      <c r="A44" s="282">
        <v>2005</v>
      </c>
      <c r="B44" s="298">
        <v>7.6</v>
      </c>
      <c r="C44" s="299">
        <v>9</v>
      </c>
      <c r="D44" s="298">
        <v>21.1</v>
      </c>
      <c r="E44" s="306">
        <v>18</v>
      </c>
      <c r="F44" s="298">
        <v>15.1</v>
      </c>
      <c r="G44" s="300">
        <v>14</v>
      </c>
      <c r="H44" s="307">
        <v>13.7</v>
      </c>
      <c r="I44" s="306">
        <v>13</v>
      </c>
      <c r="J44" s="301">
        <v>14.2</v>
      </c>
      <c r="K44" s="299">
        <v>14</v>
      </c>
    </row>
    <row r="45" spans="1:14" ht="12.75">
      <c r="A45" s="282">
        <v>2006</v>
      </c>
      <c r="B45" s="298">
        <v>11</v>
      </c>
      <c r="C45" s="299">
        <v>14</v>
      </c>
      <c r="D45" s="298">
        <v>20.5</v>
      </c>
      <c r="E45" s="306">
        <v>19</v>
      </c>
      <c r="F45" s="298">
        <v>16.3</v>
      </c>
      <c r="G45" s="300">
        <v>15</v>
      </c>
      <c r="H45" s="298">
        <v>11.2</v>
      </c>
      <c r="I45" s="306">
        <v>11</v>
      </c>
      <c r="J45" s="298">
        <v>15.1</v>
      </c>
      <c r="K45" s="299">
        <v>15</v>
      </c>
      <c r="N45" s="308"/>
    </row>
    <row r="46" spans="1:11" ht="12.75">
      <c r="A46" s="282">
        <v>2007</v>
      </c>
      <c r="B46" s="298">
        <v>13.5</v>
      </c>
      <c r="C46" s="299">
        <v>16</v>
      </c>
      <c r="D46" s="298">
        <v>13.2</v>
      </c>
      <c r="E46" s="299">
        <v>12</v>
      </c>
      <c r="F46" s="298">
        <v>15.6</v>
      </c>
      <c r="G46" s="300">
        <v>15</v>
      </c>
      <c r="H46" s="298">
        <v>12.7</v>
      </c>
      <c r="I46" s="299">
        <v>15</v>
      </c>
      <c r="J46" s="298">
        <v>14.5</v>
      </c>
      <c r="K46" s="299">
        <v>14</v>
      </c>
    </row>
    <row r="47" spans="1:11" ht="12.75">
      <c r="A47" s="282">
        <v>2008</v>
      </c>
      <c r="B47" s="298">
        <v>16</v>
      </c>
      <c r="C47" s="299">
        <v>20</v>
      </c>
      <c r="D47" s="298">
        <v>18.4</v>
      </c>
      <c r="E47" s="299">
        <v>17</v>
      </c>
      <c r="F47" s="298">
        <v>16.9</v>
      </c>
      <c r="G47" s="300">
        <v>16</v>
      </c>
      <c r="H47" s="298">
        <v>14.1</v>
      </c>
      <c r="I47" s="299">
        <v>14</v>
      </c>
      <c r="J47" s="298">
        <v>16.5</v>
      </c>
      <c r="K47" s="299">
        <v>17</v>
      </c>
    </row>
    <row r="48" spans="1:11" ht="12.75">
      <c r="A48" s="282">
        <v>2009</v>
      </c>
      <c r="B48" s="298">
        <v>10</v>
      </c>
      <c r="C48" s="299">
        <v>13</v>
      </c>
      <c r="D48" s="298">
        <v>13.5</v>
      </c>
      <c r="E48" s="299">
        <v>13</v>
      </c>
      <c r="F48" s="305">
        <v>15.3</v>
      </c>
      <c r="G48" s="309">
        <v>15</v>
      </c>
      <c r="H48" s="305">
        <v>14.7</v>
      </c>
      <c r="I48" s="304">
        <v>15</v>
      </c>
      <c r="J48" s="305">
        <v>13.8</v>
      </c>
      <c r="K48" s="304">
        <v>14</v>
      </c>
    </row>
    <row r="49" spans="1:11" ht="12.75">
      <c r="A49" s="310">
        <v>2010</v>
      </c>
      <c r="B49" s="298">
        <v>13.8</v>
      </c>
      <c r="C49" s="299">
        <v>18</v>
      </c>
      <c r="D49" s="298">
        <v>11.5</v>
      </c>
      <c r="E49" s="299">
        <v>11</v>
      </c>
      <c r="F49" s="305">
        <v>12.5</v>
      </c>
      <c r="G49" s="309">
        <v>12</v>
      </c>
      <c r="H49" s="305">
        <v>12.4</v>
      </c>
      <c r="I49" s="304">
        <v>13</v>
      </c>
      <c r="J49" s="305">
        <v>12.6</v>
      </c>
      <c r="K49" s="304">
        <v>13</v>
      </c>
    </row>
    <row r="50" spans="1:11" s="316" customFormat="1" ht="12.75">
      <c r="A50" s="311">
        <v>2011</v>
      </c>
      <c r="B50" s="312">
        <v>13.8</v>
      </c>
      <c r="C50" s="313">
        <v>18</v>
      </c>
      <c r="D50" s="312">
        <v>18</v>
      </c>
      <c r="E50" s="313">
        <v>17</v>
      </c>
      <c r="F50" s="314">
        <v>15.8</v>
      </c>
      <c r="G50" s="315">
        <v>16</v>
      </c>
      <c r="H50" s="314">
        <v>12.4</v>
      </c>
      <c r="I50" s="306">
        <v>13</v>
      </c>
      <c r="J50" s="314">
        <v>15.2</v>
      </c>
      <c r="K50" s="306">
        <v>16</v>
      </c>
    </row>
    <row r="51" spans="1:11" s="316" customFormat="1" ht="12.75">
      <c r="A51" s="311">
        <v>2012</v>
      </c>
      <c r="B51" s="312">
        <v>10</v>
      </c>
      <c r="C51" s="313">
        <v>14</v>
      </c>
      <c r="D51" s="312">
        <v>21</v>
      </c>
      <c r="E51" s="313">
        <v>20</v>
      </c>
      <c r="F51" s="314">
        <v>15.6</v>
      </c>
      <c r="G51" s="315">
        <v>15</v>
      </c>
      <c r="H51" s="314">
        <v>11.7</v>
      </c>
      <c r="I51" s="306">
        <v>12</v>
      </c>
      <c r="J51" s="314">
        <v>14.7</v>
      </c>
      <c r="K51" s="306">
        <v>15</v>
      </c>
    </row>
    <row r="52" spans="1:11" s="316" customFormat="1" ht="12.75">
      <c r="A52" s="311">
        <v>2013</v>
      </c>
      <c r="B52" s="312">
        <v>11.8</v>
      </c>
      <c r="C52" s="313">
        <v>16</v>
      </c>
      <c r="D52" s="312">
        <v>17</v>
      </c>
      <c r="E52" s="313">
        <v>16</v>
      </c>
      <c r="F52" s="314">
        <v>16.7</v>
      </c>
      <c r="G52" s="315">
        <v>16</v>
      </c>
      <c r="H52" s="314">
        <v>17.2</v>
      </c>
      <c r="I52" s="306">
        <v>18</v>
      </c>
      <c r="J52" s="314">
        <v>15.7</v>
      </c>
      <c r="K52" s="306">
        <v>17</v>
      </c>
    </row>
    <row r="53" spans="1:11" s="316" customFormat="1" ht="12.75">
      <c r="A53" s="311">
        <v>2014</v>
      </c>
      <c r="B53" s="312">
        <v>18.6</v>
      </c>
      <c r="C53" s="313">
        <v>25</v>
      </c>
      <c r="D53" s="312">
        <v>21.5</v>
      </c>
      <c r="E53" s="313">
        <v>21</v>
      </c>
      <c r="F53" s="314">
        <v>15.3</v>
      </c>
      <c r="G53" s="315">
        <v>15</v>
      </c>
      <c r="H53" s="314">
        <v>15</v>
      </c>
      <c r="I53" s="306">
        <v>16</v>
      </c>
      <c r="J53" s="314">
        <v>17.3</v>
      </c>
      <c r="K53" s="306">
        <v>19</v>
      </c>
    </row>
    <row r="54" spans="1:11" s="316" customFormat="1" ht="12.75">
      <c r="A54" s="311">
        <v>2015</v>
      </c>
      <c r="B54" s="312">
        <v>18.7</v>
      </c>
      <c r="C54" s="313">
        <v>26</v>
      </c>
      <c r="D54" s="312">
        <v>19</v>
      </c>
      <c r="E54" s="313">
        <v>18</v>
      </c>
      <c r="F54" s="314">
        <v>17.8</v>
      </c>
      <c r="G54" s="315">
        <v>18</v>
      </c>
      <c r="H54" s="314">
        <v>11.1</v>
      </c>
      <c r="I54" s="306">
        <v>12</v>
      </c>
      <c r="J54" s="314">
        <v>17</v>
      </c>
      <c r="K54" s="306">
        <v>18</v>
      </c>
    </row>
    <row r="55" spans="1:11" s="316" customFormat="1" ht="12.75">
      <c r="A55" s="310">
        <v>2016</v>
      </c>
      <c r="B55" s="312">
        <v>19.1</v>
      </c>
      <c r="C55" s="313">
        <v>27</v>
      </c>
      <c r="D55" s="312">
        <v>21.9</v>
      </c>
      <c r="E55" s="313">
        <v>22</v>
      </c>
      <c r="F55" s="314">
        <v>16.6</v>
      </c>
      <c r="G55" s="315">
        <v>17</v>
      </c>
      <c r="H55" s="314">
        <v>17.8</v>
      </c>
      <c r="I55" s="306">
        <v>19</v>
      </c>
      <c r="J55" s="314">
        <v>18.5</v>
      </c>
      <c r="K55" s="306">
        <v>20</v>
      </c>
    </row>
    <row r="56" spans="1:11" s="317" customFormat="1" ht="12.75">
      <c r="A56" s="310">
        <v>2017</v>
      </c>
      <c r="B56" s="298">
        <v>20</v>
      </c>
      <c r="C56" s="299">
        <v>28</v>
      </c>
      <c r="D56" s="298">
        <v>18.6</v>
      </c>
      <c r="E56" s="299">
        <v>19</v>
      </c>
      <c r="F56" s="305">
        <v>15.5</v>
      </c>
      <c r="G56" s="309">
        <v>16</v>
      </c>
      <c r="H56" s="305">
        <v>24.4</v>
      </c>
      <c r="I56" s="304">
        <v>25</v>
      </c>
      <c r="J56" s="305">
        <v>18.8</v>
      </c>
      <c r="K56" s="304">
        <v>20</v>
      </c>
    </row>
    <row r="57" spans="1:11" s="317" customFormat="1" ht="12.75">
      <c r="A57" s="310">
        <v>2018</v>
      </c>
      <c r="B57" s="298">
        <f>43/2.4</f>
        <v>17.916666666666668</v>
      </c>
      <c r="C57" s="304">
        <v>26</v>
      </c>
      <c r="D57" s="305">
        <f>39/2.1</f>
        <v>18.57142857142857</v>
      </c>
      <c r="E57" s="304">
        <v>19</v>
      </c>
      <c r="F57" s="305">
        <f>63/3.8</f>
        <v>16.578947368421055</v>
      </c>
      <c r="G57" s="309">
        <v>17</v>
      </c>
      <c r="H57" s="305">
        <f>37/1.9</f>
        <v>19.473684210526315</v>
      </c>
      <c r="I57" s="304">
        <v>21</v>
      </c>
      <c r="J57" s="305">
        <f>182/10.2</f>
        <v>17.84313725490196</v>
      </c>
      <c r="K57" s="304">
        <v>20</v>
      </c>
    </row>
    <row r="58" spans="1:11" ht="12.75">
      <c r="A58" s="310">
        <v>2019</v>
      </c>
      <c r="B58" s="298">
        <f>44/2.4</f>
        <v>18.333333333333336</v>
      </c>
      <c r="C58" s="304">
        <v>28</v>
      </c>
      <c r="D58" s="305">
        <f>35/2.1</f>
        <v>16.666666666666664</v>
      </c>
      <c r="E58" s="304">
        <v>17</v>
      </c>
      <c r="F58" s="305">
        <f>84/3.8</f>
        <v>22.105263157894736</v>
      </c>
      <c r="G58" s="309">
        <v>24</v>
      </c>
      <c r="H58" s="305">
        <f>28/1.9</f>
        <v>14.73684210526316</v>
      </c>
      <c r="I58" s="304">
        <v>17</v>
      </c>
      <c r="J58" s="305">
        <f>190/10.2</f>
        <v>18.627450980392158</v>
      </c>
      <c r="K58" s="304">
        <v>22</v>
      </c>
    </row>
    <row r="59" spans="1:11" ht="12.75">
      <c r="A59" s="318">
        <v>2020</v>
      </c>
      <c r="B59" s="319"/>
      <c r="C59" s="322"/>
      <c r="D59" s="320"/>
      <c r="E59" s="322"/>
      <c r="F59" s="320"/>
      <c r="G59" s="321"/>
      <c r="H59" s="320"/>
      <c r="I59" s="322"/>
      <c r="J59" s="320"/>
      <c r="K59" s="322"/>
    </row>
    <row r="60" spans="1:11" ht="12.75">
      <c r="A60" s="282"/>
      <c r="B60" s="283"/>
      <c r="C60" s="323"/>
      <c r="D60" s="324"/>
      <c r="E60" s="325"/>
      <c r="F60" s="326"/>
      <c r="G60" s="327"/>
      <c r="H60" s="328"/>
      <c r="I60" s="329"/>
      <c r="J60" s="328"/>
      <c r="K60" s="329"/>
    </row>
    <row r="61" spans="1:11" ht="12.75">
      <c r="A61" s="282"/>
      <c r="B61" s="283"/>
      <c r="C61" s="323"/>
      <c r="D61" s="324"/>
      <c r="E61" s="325"/>
      <c r="F61" s="326"/>
      <c r="G61" s="327"/>
      <c r="H61" s="328"/>
      <c r="I61" s="329"/>
      <c r="J61" s="328"/>
      <c r="K61" s="329"/>
    </row>
    <row r="62" spans="1:11" ht="12.75">
      <c r="A62" s="282"/>
      <c r="B62" s="283"/>
      <c r="C62" s="323"/>
      <c r="D62" s="324"/>
      <c r="E62" s="325"/>
      <c r="F62" s="326"/>
      <c r="G62" s="327"/>
      <c r="H62" s="328"/>
      <c r="I62" s="329"/>
      <c r="J62" s="328"/>
      <c r="K62" s="329"/>
    </row>
    <row r="63" spans="1:11" ht="12.75">
      <c r="A63" s="282"/>
      <c r="B63" s="283"/>
      <c r="C63" s="323"/>
      <c r="D63" s="324"/>
      <c r="E63" s="325"/>
      <c r="F63" s="326"/>
      <c r="G63" s="327"/>
      <c r="H63" s="328"/>
      <c r="I63" s="329"/>
      <c r="J63" s="328"/>
      <c r="K63" s="329"/>
    </row>
    <row r="64" spans="1:11" ht="12.75">
      <c r="A64" s="282"/>
      <c r="B64" s="283"/>
      <c r="C64" s="323"/>
      <c r="D64" s="324"/>
      <c r="E64" s="325"/>
      <c r="F64" s="326"/>
      <c r="G64" s="327"/>
      <c r="H64" s="328"/>
      <c r="I64" s="329"/>
      <c r="J64" s="328"/>
      <c r="K64" s="329"/>
    </row>
    <row r="65" spans="1:11" ht="12.75">
      <c r="A65" s="282"/>
      <c r="B65" s="283"/>
      <c r="C65" s="323"/>
      <c r="D65" s="324"/>
      <c r="E65" s="325"/>
      <c r="F65" s="326"/>
      <c r="G65" s="327"/>
      <c r="H65" s="328"/>
      <c r="I65" s="329"/>
      <c r="J65" s="328"/>
      <c r="K65" s="329"/>
    </row>
    <row r="66" spans="1:11" ht="12.75">
      <c r="A66" s="282"/>
      <c r="B66" s="283"/>
      <c r="C66" s="323"/>
      <c r="D66" s="324"/>
      <c r="E66" s="325"/>
      <c r="F66" s="326"/>
      <c r="G66" s="327"/>
      <c r="H66" s="328"/>
      <c r="I66" s="329"/>
      <c r="J66" s="328"/>
      <c r="K66" s="329"/>
    </row>
    <row r="67" spans="1:11" ht="12.75">
      <c r="A67" s="282"/>
      <c r="B67" s="283"/>
      <c r="C67" s="323"/>
      <c r="D67" s="324"/>
      <c r="E67" s="325"/>
      <c r="F67" s="326"/>
      <c r="G67" s="327"/>
      <c r="H67" s="328"/>
      <c r="I67" s="329"/>
      <c r="J67" s="328"/>
      <c r="K67" s="329"/>
    </row>
    <row r="68" spans="1:11" ht="12.75">
      <c r="A68" s="282"/>
      <c r="B68" s="283"/>
      <c r="C68" s="323"/>
      <c r="D68" s="324"/>
      <c r="E68" s="325"/>
      <c r="F68" s="326"/>
      <c r="G68" s="327"/>
      <c r="H68" s="328"/>
      <c r="I68" s="329"/>
      <c r="J68" s="328"/>
      <c r="K68" s="329"/>
    </row>
    <row r="69" spans="1:11" ht="12.75">
      <c r="A69" s="282"/>
      <c r="B69" s="283"/>
      <c r="C69" s="323"/>
      <c r="D69" s="324"/>
      <c r="E69" s="325"/>
      <c r="F69" s="326"/>
      <c r="G69" s="327"/>
      <c r="H69" s="328"/>
      <c r="I69" s="329"/>
      <c r="J69" s="328"/>
      <c r="K69" s="329"/>
    </row>
    <row r="70" spans="1:11" ht="12.75">
      <c r="A70" s="291"/>
      <c r="B70" s="292"/>
      <c r="C70" s="330"/>
      <c r="D70" s="331"/>
      <c r="E70" s="332"/>
      <c r="F70" s="333"/>
      <c r="G70" s="334"/>
      <c r="H70" s="335"/>
      <c r="I70" s="336"/>
      <c r="J70" s="335"/>
      <c r="K70" s="336"/>
    </row>
    <row r="71" ht="12.75">
      <c r="C71" s="339"/>
    </row>
    <row r="72" spans="1:3" ht="12.75">
      <c r="A72" s="340" t="s">
        <v>35</v>
      </c>
      <c r="C72" s="339"/>
    </row>
    <row r="73" ht="12.75">
      <c r="C73" s="339"/>
    </row>
    <row r="74" ht="12.75">
      <c r="C74" s="339"/>
    </row>
    <row r="75" ht="12.75">
      <c r="C75" s="339"/>
    </row>
  </sheetData>
  <sheetProtection/>
  <mergeCells count="5">
    <mergeCell ref="B1:C1"/>
    <mergeCell ref="D1:E1"/>
    <mergeCell ref="F1:G1"/>
    <mergeCell ref="H1:I1"/>
    <mergeCell ref="J1:K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A1:K77"/>
  <sheetViews>
    <sheetView showGridLines="0" tabSelected="1" zoomScalePageLayoutView="0" workbookViewId="0" topLeftCell="A1">
      <pane ySplit="1155" topLeftCell="A48" activePane="bottomLeft" state="split"/>
      <selection pane="topLeft" activeCell="B61" sqref="B61"/>
      <selection pane="bottomLeft" activeCell="C65" sqref="C65"/>
    </sheetView>
  </sheetViews>
  <sheetFormatPr defaultColWidth="9.140625" defaultRowHeight="12.75"/>
  <cols>
    <col min="1" max="1" width="5.7109375" style="1" customWidth="1"/>
    <col min="2" max="11" width="9.7109375" style="7" customWidth="1"/>
  </cols>
  <sheetData>
    <row r="1" spans="1:11" s="6" customFormat="1" ht="20.25" customHeight="1">
      <c r="A1" s="16"/>
      <c r="B1" s="383" t="s">
        <v>4</v>
      </c>
      <c r="C1" s="386"/>
      <c r="D1" s="383" t="s">
        <v>5</v>
      </c>
      <c r="E1" s="386"/>
      <c r="F1" s="383" t="s">
        <v>6</v>
      </c>
      <c r="G1" s="386"/>
      <c r="H1" s="383" t="s">
        <v>7</v>
      </c>
      <c r="I1" s="386"/>
      <c r="J1" s="383" t="s">
        <v>8</v>
      </c>
      <c r="K1" s="385"/>
    </row>
    <row r="2" spans="1:11" s="2" customFormat="1" ht="25.5" customHeight="1" thickBot="1">
      <c r="A2" s="107" t="s">
        <v>9</v>
      </c>
      <c r="B2" s="108" t="s">
        <v>0</v>
      </c>
      <c r="C2" s="107" t="s">
        <v>1</v>
      </c>
      <c r="D2" s="108" t="s">
        <v>0</v>
      </c>
      <c r="E2" s="107" t="s">
        <v>1</v>
      </c>
      <c r="F2" s="104" t="s">
        <v>0</v>
      </c>
      <c r="G2" s="107" t="s">
        <v>1</v>
      </c>
      <c r="H2" s="108" t="s">
        <v>0</v>
      </c>
      <c r="I2" s="107" t="s">
        <v>1</v>
      </c>
      <c r="J2" s="108" t="s">
        <v>0</v>
      </c>
      <c r="K2" s="105" t="s">
        <v>1</v>
      </c>
    </row>
    <row r="3" spans="1:11" ht="17.25" customHeight="1" thickTop="1">
      <c r="A3" s="17">
        <v>1964</v>
      </c>
      <c r="B3" s="72">
        <v>4</v>
      </c>
      <c r="C3" s="64">
        <f>0+B3</f>
        <v>4</v>
      </c>
      <c r="D3" s="72"/>
      <c r="E3" s="64"/>
      <c r="F3" s="62"/>
      <c r="G3" s="64"/>
      <c r="H3" s="72"/>
      <c r="I3" s="64"/>
      <c r="J3" s="72">
        <f>B3+D3+F3+H3</f>
        <v>4</v>
      </c>
      <c r="K3" s="65">
        <f>0+J3</f>
        <v>4</v>
      </c>
    </row>
    <row r="4" spans="1:11" ht="12.75">
      <c r="A4" s="17">
        <v>1965</v>
      </c>
      <c r="B4" s="72">
        <v>6</v>
      </c>
      <c r="C4" s="64">
        <f>C3+B4</f>
        <v>10</v>
      </c>
      <c r="D4" s="72"/>
      <c r="E4" s="64"/>
      <c r="F4" s="62">
        <v>2</v>
      </c>
      <c r="G4" s="64">
        <f>0+F4</f>
        <v>2</v>
      </c>
      <c r="H4" s="72"/>
      <c r="I4" s="64"/>
      <c r="J4" s="72">
        <f aca="true" t="shared" si="0" ref="J4:J43">B4+D4+F4+H4</f>
        <v>8</v>
      </c>
      <c r="K4" s="65">
        <f>K3+J4</f>
        <v>12</v>
      </c>
    </row>
    <row r="5" spans="1:11" ht="12.75">
      <c r="A5" s="17">
        <v>1966</v>
      </c>
      <c r="B5" s="72">
        <v>11</v>
      </c>
      <c r="C5" s="64">
        <f aca="true" t="shared" si="1" ref="C5:C44">C4+B5</f>
        <v>21</v>
      </c>
      <c r="D5" s="72"/>
      <c r="E5" s="64"/>
      <c r="F5" s="62">
        <v>12</v>
      </c>
      <c r="G5" s="64">
        <f aca="true" t="shared" si="2" ref="G5:G44">G4+F5</f>
        <v>14</v>
      </c>
      <c r="H5" s="72"/>
      <c r="I5" s="64"/>
      <c r="J5" s="72">
        <f t="shared" si="0"/>
        <v>23</v>
      </c>
      <c r="K5" s="65">
        <f aca="true" t="shared" si="3" ref="K5:K43">K4+J5</f>
        <v>35</v>
      </c>
    </row>
    <row r="6" spans="1:11" ht="12.75">
      <c r="A6" s="17">
        <v>1967</v>
      </c>
      <c r="B6" s="72">
        <v>4</v>
      </c>
      <c r="C6" s="64">
        <f t="shared" si="1"/>
        <v>25</v>
      </c>
      <c r="D6" s="72"/>
      <c r="E6" s="64"/>
      <c r="F6" s="62">
        <v>13</v>
      </c>
      <c r="G6" s="64">
        <f t="shared" si="2"/>
        <v>27</v>
      </c>
      <c r="H6" s="72"/>
      <c r="I6" s="64"/>
      <c r="J6" s="72">
        <f t="shared" si="0"/>
        <v>17</v>
      </c>
      <c r="K6" s="65">
        <f t="shared" si="3"/>
        <v>52</v>
      </c>
    </row>
    <row r="7" spans="1:11" ht="12.75">
      <c r="A7" s="17">
        <v>1968</v>
      </c>
      <c r="B7" s="72">
        <v>3</v>
      </c>
      <c r="C7" s="64">
        <f t="shared" si="1"/>
        <v>28</v>
      </c>
      <c r="D7" s="72"/>
      <c r="E7" s="64"/>
      <c r="F7" s="62">
        <v>12</v>
      </c>
      <c r="G7" s="64">
        <f t="shared" si="2"/>
        <v>39</v>
      </c>
      <c r="H7" s="72">
        <v>1</v>
      </c>
      <c r="I7" s="64">
        <f>0+H7</f>
        <v>1</v>
      </c>
      <c r="J7" s="72">
        <f t="shared" si="0"/>
        <v>16</v>
      </c>
      <c r="K7" s="65">
        <f t="shared" si="3"/>
        <v>68</v>
      </c>
    </row>
    <row r="8" spans="1:11" ht="12.75">
      <c r="A8" s="17">
        <v>1969</v>
      </c>
      <c r="B8" s="72">
        <v>2</v>
      </c>
      <c r="C8" s="64">
        <f t="shared" si="1"/>
        <v>30</v>
      </c>
      <c r="D8" s="72"/>
      <c r="E8" s="64"/>
      <c r="F8" s="62">
        <v>5</v>
      </c>
      <c r="G8" s="64">
        <f t="shared" si="2"/>
        <v>44</v>
      </c>
      <c r="H8" s="72"/>
      <c r="I8" s="64">
        <f>I7+H8</f>
        <v>1</v>
      </c>
      <c r="J8" s="72">
        <f t="shared" si="0"/>
        <v>7</v>
      </c>
      <c r="K8" s="65">
        <f t="shared" si="3"/>
        <v>75</v>
      </c>
    </row>
    <row r="9" spans="1:11" ht="12.75">
      <c r="A9" s="17">
        <v>1970</v>
      </c>
      <c r="B9" s="72">
        <v>2</v>
      </c>
      <c r="C9" s="64">
        <f t="shared" si="1"/>
        <v>32</v>
      </c>
      <c r="D9" s="72"/>
      <c r="E9" s="64"/>
      <c r="F9" s="62">
        <v>2</v>
      </c>
      <c r="G9" s="64">
        <f t="shared" si="2"/>
        <v>46</v>
      </c>
      <c r="H9" s="72"/>
      <c r="I9" s="64">
        <f aca="true" t="shared" si="4" ref="I9:I44">I8+H9</f>
        <v>1</v>
      </c>
      <c r="J9" s="72">
        <f t="shared" si="0"/>
        <v>4</v>
      </c>
      <c r="K9" s="65">
        <f t="shared" si="3"/>
        <v>79</v>
      </c>
    </row>
    <row r="10" spans="1:11" ht="12.75">
      <c r="A10" s="17">
        <v>1971</v>
      </c>
      <c r="B10" s="72">
        <v>7</v>
      </c>
      <c r="C10" s="64">
        <f t="shared" si="1"/>
        <v>39</v>
      </c>
      <c r="D10" s="72"/>
      <c r="E10" s="64"/>
      <c r="F10" s="62">
        <v>9</v>
      </c>
      <c r="G10" s="64">
        <f t="shared" si="2"/>
        <v>55</v>
      </c>
      <c r="H10" s="72"/>
      <c r="I10" s="64">
        <f t="shared" si="4"/>
        <v>1</v>
      </c>
      <c r="J10" s="72">
        <f t="shared" si="0"/>
        <v>16</v>
      </c>
      <c r="K10" s="65">
        <f t="shared" si="3"/>
        <v>95</v>
      </c>
    </row>
    <row r="11" spans="1:11" ht="12.75">
      <c r="A11" s="17">
        <v>1972</v>
      </c>
      <c r="B11" s="72">
        <v>14</v>
      </c>
      <c r="C11" s="64">
        <f t="shared" si="1"/>
        <v>53</v>
      </c>
      <c r="D11" s="72"/>
      <c r="E11" s="64"/>
      <c r="F11" s="62">
        <v>11</v>
      </c>
      <c r="G11" s="64">
        <f t="shared" si="2"/>
        <v>66</v>
      </c>
      <c r="H11" s="72">
        <v>1</v>
      </c>
      <c r="I11" s="64">
        <f t="shared" si="4"/>
        <v>2</v>
      </c>
      <c r="J11" s="72">
        <f t="shared" si="0"/>
        <v>26</v>
      </c>
      <c r="K11" s="65">
        <f t="shared" si="3"/>
        <v>121</v>
      </c>
    </row>
    <row r="12" spans="1:11" ht="12.75">
      <c r="A12" s="17">
        <v>1973</v>
      </c>
      <c r="B12" s="72">
        <v>9</v>
      </c>
      <c r="C12" s="64">
        <f t="shared" si="1"/>
        <v>62</v>
      </c>
      <c r="D12" s="72"/>
      <c r="E12" s="64"/>
      <c r="F12" s="62">
        <v>21</v>
      </c>
      <c r="G12" s="64">
        <f t="shared" si="2"/>
        <v>87</v>
      </c>
      <c r="H12" s="72"/>
      <c r="I12" s="64">
        <f t="shared" si="4"/>
        <v>2</v>
      </c>
      <c r="J12" s="72">
        <f t="shared" si="0"/>
        <v>30</v>
      </c>
      <c r="K12" s="65">
        <f t="shared" si="3"/>
        <v>151</v>
      </c>
    </row>
    <row r="13" spans="1:11" ht="12.75">
      <c r="A13" s="17">
        <v>1974</v>
      </c>
      <c r="B13" s="72">
        <v>7</v>
      </c>
      <c r="C13" s="64">
        <f t="shared" si="1"/>
        <v>69</v>
      </c>
      <c r="D13" s="72">
        <v>1</v>
      </c>
      <c r="E13" s="64">
        <f>0+D13</f>
        <v>1</v>
      </c>
      <c r="F13" s="62">
        <v>15</v>
      </c>
      <c r="G13" s="64">
        <f t="shared" si="2"/>
        <v>102</v>
      </c>
      <c r="H13" s="72">
        <v>2</v>
      </c>
      <c r="I13" s="64">
        <f t="shared" si="4"/>
        <v>4</v>
      </c>
      <c r="J13" s="72">
        <f t="shared" si="0"/>
        <v>25</v>
      </c>
      <c r="K13" s="65">
        <f t="shared" si="3"/>
        <v>176</v>
      </c>
    </row>
    <row r="14" spans="1:11" ht="12.75">
      <c r="A14" s="17">
        <v>1975</v>
      </c>
      <c r="B14" s="72">
        <v>14</v>
      </c>
      <c r="C14" s="64">
        <f t="shared" si="1"/>
        <v>83</v>
      </c>
      <c r="D14" s="72">
        <v>3</v>
      </c>
      <c r="E14" s="64">
        <f aca="true" t="shared" si="5" ref="E14:E44">E13+D14</f>
        <v>4</v>
      </c>
      <c r="F14" s="62">
        <v>9</v>
      </c>
      <c r="G14" s="64">
        <f t="shared" si="2"/>
        <v>111</v>
      </c>
      <c r="H14" s="72">
        <v>2</v>
      </c>
      <c r="I14" s="64">
        <f t="shared" si="4"/>
        <v>6</v>
      </c>
      <c r="J14" s="72">
        <f t="shared" si="0"/>
        <v>28</v>
      </c>
      <c r="K14" s="65">
        <f t="shared" si="3"/>
        <v>204</v>
      </c>
    </row>
    <row r="15" spans="1:11" ht="12.75">
      <c r="A15" s="17">
        <v>1976</v>
      </c>
      <c r="B15" s="72">
        <v>14</v>
      </c>
      <c r="C15" s="64">
        <f t="shared" si="1"/>
        <v>97</v>
      </c>
      <c r="D15" s="72">
        <v>1</v>
      </c>
      <c r="E15" s="64">
        <f t="shared" si="5"/>
        <v>5</v>
      </c>
      <c r="F15" s="62">
        <v>11</v>
      </c>
      <c r="G15" s="64">
        <f t="shared" si="2"/>
        <v>122</v>
      </c>
      <c r="H15" s="72">
        <v>3</v>
      </c>
      <c r="I15" s="64">
        <f t="shared" si="4"/>
        <v>9</v>
      </c>
      <c r="J15" s="72">
        <f t="shared" si="0"/>
        <v>29</v>
      </c>
      <c r="K15" s="65">
        <f t="shared" si="3"/>
        <v>233</v>
      </c>
    </row>
    <row r="16" spans="1:11" ht="12.75">
      <c r="A16" s="17">
        <v>1977</v>
      </c>
      <c r="B16" s="72">
        <v>9</v>
      </c>
      <c r="C16" s="64">
        <f t="shared" si="1"/>
        <v>106</v>
      </c>
      <c r="D16" s="72">
        <v>1</v>
      </c>
      <c r="E16" s="64">
        <f t="shared" si="5"/>
        <v>6</v>
      </c>
      <c r="F16" s="62">
        <v>14</v>
      </c>
      <c r="G16" s="64">
        <f t="shared" si="2"/>
        <v>136</v>
      </c>
      <c r="H16" s="72">
        <v>3</v>
      </c>
      <c r="I16" s="64">
        <f t="shared" si="4"/>
        <v>12</v>
      </c>
      <c r="J16" s="72">
        <f t="shared" si="0"/>
        <v>27</v>
      </c>
      <c r="K16" s="65">
        <f t="shared" si="3"/>
        <v>260</v>
      </c>
    </row>
    <row r="17" spans="1:11" ht="12.75">
      <c r="A17" s="17">
        <v>1978</v>
      </c>
      <c r="B17" s="72">
        <v>14</v>
      </c>
      <c r="C17" s="64">
        <f t="shared" si="1"/>
        <v>120</v>
      </c>
      <c r="D17" s="72"/>
      <c r="E17" s="64">
        <f t="shared" si="5"/>
        <v>6</v>
      </c>
      <c r="F17" s="62">
        <v>29</v>
      </c>
      <c r="G17" s="64">
        <f t="shared" si="2"/>
        <v>165</v>
      </c>
      <c r="H17" s="72">
        <v>3</v>
      </c>
      <c r="I17" s="64">
        <f t="shared" si="4"/>
        <v>15</v>
      </c>
      <c r="J17" s="72">
        <f t="shared" si="0"/>
        <v>46</v>
      </c>
      <c r="K17" s="65">
        <f t="shared" si="3"/>
        <v>306</v>
      </c>
    </row>
    <row r="18" spans="1:11" ht="12.75">
      <c r="A18" s="17">
        <v>1979</v>
      </c>
      <c r="B18" s="72">
        <v>17</v>
      </c>
      <c r="C18" s="64">
        <f t="shared" si="1"/>
        <v>137</v>
      </c>
      <c r="D18" s="72">
        <v>2</v>
      </c>
      <c r="E18" s="64">
        <f t="shared" si="5"/>
        <v>8</v>
      </c>
      <c r="F18" s="62">
        <v>23</v>
      </c>
      <c r="G18" s="64">
        <f t="shared" si="2"/>
        <v>188</v>
      </c>
      <c r="H18" s="72">
        <v>11</v>
      </c>
      <c r="I18" s="64">
        <f t="shared" si="4"/>
        <v>26</v>
      </c>
      <c r="J18" s="72">
        <f t="shared" si="0"/>
        <v>53</v>
      </c>
      <c r="K18" s="65">
        <f t="shared" si="3"/>
        <v>359</v>
      </c>
    </row>
    <row r="19" spans="1:11" ht="12.75">
      <c r="A19" s="17">
        <v>1980</v>
      </c>
      <c r="B19" s="72">
        <v>25</v>
      </c>
      <c r="C19" s="64">
        <f t="shared" si="1"/>
        <v>162</v>
      </c>
      <c r="D19" s="72">
        <v>1</v>
      </c>
      <c r="E19" s="64">
        <f t="shared" si="5"/>
        <v>9</v>
      </c>
      <c r="F19" s="62">
        <v>28</v>
      </c>
      <c r="G19" s="64">
        <f t="shared" si="2"/>
        <v>216</v>
      </c>
      <c r="H19" s="72">
        <v>11</v>
      </c>
      <c r="I19" s="64">
        <f t="shared" si="4"/>
        <v>37</v>
      </c>
      <c r="J19" s="72">
        <f t="shared" si="0"/>
        <v>65</v>
      </c>
      <c r="K19" s="65">
        <f t="shared" si="3"/>
        <v>424</v>
      </c>
    </row>
    <row r="20" spans="1:11" ht="12.75">
      <c r="A20" s="17">
        <v>1981</v>
      </c>
      <c r="B20" s="72">
        <v>16</v>
      </c>
      <c r="C20" s="64">
        <f t="shared" si="1"/>
        <v>178</v>
      </c>
      <c r="D20" s="72">
        <v>2</v>
      </c>
      <c r="E20" s="64">
        <f t="shared" si="5"/>
        <v>11</v>
      </c>
      <c r="F20" s="62">
        <v>30</v>
      </c>
      <c r="G20" s="64">
        <f t="shared" si="2"/>
        <v>246</v>
      </c>
      <c r="H20" s="72">
        <v>15</v>
      </c>
      <c r="I20" s="64">
        <f t="shared" si="4"/>
        <v>52</v>
      </c>
      <c r="J20" s="72">
        <f t="shared" si="0"/>
        <v>63</v>
      </c>
      <c r="K20" s="65">
        <f t="shared" si="3"/>
        <v>487</v>
      </c>
    </row>
    <row r="21" spans="1:11" ht="12.75">
      <c r="A21" s="17">
        <v>1982</v>
      </c>
      <c r="B21" s="72">
        <v>14</v>
      </c>
      <c r="C21" s="64">
        <f t="shared" si="1"/>
        <v>192</v>
      </c>
      <c r="D21" s="72">
        <v>3</v>
      </c>
      <c r="E21" s="64">
        <f t="shared" si="5"/>
        <v>14</v>
      </c>
      <c r="F21" s="62">
        <v>22</v>
      </c>
      <c r="G21" s="64">
        <f t="shared" si="2"/>
        <v>268</v>
      </c>
      <c r="H21" s="72">
        <v>13</v>
      </c>
      <c r="I21" s="64">
        <f t="shared" si="4"/>
        <v>65</v>
      </c>
      <c r="J21" s="72">
        <f t="shared" si="0"/>
        <v>52</v>
      </c>
      <c r="K21" s="65">
        <f t="shared" si="3"/>
        <v>539</v>
      </c>
    </row>
    <row r="22" spans="1:11" ht="12.75">
      <c r="A22" s="17">
        <v>1983</v>
      </c>
      <c r="B22" s="72">
        <v>16</v>
      </c>
      <c r="C22" s="64">
        <f t="shared" si="1"/>
        <v>208</v>
      </c>
      <c r="D22" s="72">
        <v>4</v>
      </c>
      <c r="E22" s="64">
        <f t="shared" si="5"/>
        <v>18</v>
      </c>
      <c r="F22" s="62">
        <v>38</v>
      </c>
      <c r="G22" s="64">
        <f t="shared" si="2"/>
        <v>306</v>
      </c>
      <c r="H22" s="72">
        <v>18</v>
      </c>
      <c r="I22" s="64">
        <f t="shared" si="4"/>
        <v>83</v>
      </c>
      <c r="J22" s="72">
        <f t="shared" si="0"/>
        <v>76</v>
      </c>
      <c r="K22" s="65">
        <f t="shared" si="3"/>
        <v>615</v>
      </c>
    </row>
    <row r="23" spans="1:11" ht="12.75">
      <c r="A23" s="17">
        <v>1984</v>
      </c>
      <c r="B23" s="72">
        <v>20</v>
      </c>
      <c r="C23" s="64">
        <f t="shared" si="1"/>
        <v>228</v>
      </c>
      <c r="D23" s="72">
        <v>6</v>
      </c>
      <c r="E23" s="64">
        <f t="shared" si="5"/>
        <v>24</v>
      </c>
      <c r="F23" s="62">
        <v>25</v>
      </c>
      <c r="G23" s="64">
        <f t="shared" si="2"/>
        <v>331</v>
      </c>
      <c r="H23" s="72">
        <v>18</v>
      </c>
      <c r="I23" s="64">
        <f t="shared" si="4"/>
        <v>101</v>
      </c>
      <c r="J23" s="72">
        <f t="shared" si="0"/>
        <v>69</v>
      </c>
      <c r="K23" s="65">
        <f t="shared" si="3"/>
        <v>684</v>
      </c>
    </row>
    <row r="24" spans="1:11" ht="12.75">
      <c r="A24" s="17">
        <v>1985</v>
      </c>
      <c r="B24" s="72">
        <v>20</v>
      </c>
      <c r="C24" s="64">
        <f t="shared" si="1"/>
        <v>248</v>
      </c>
      <c r="D24" s="72">
        <v>4</v>
      </c>
      <c r="E24" s="64">
        <f t="shared" si="5"/>
        <v>28</v>
      </c>
      <c r="F24" s="62">
        <v>30</v>
      </c>
      <c r="G24" s="64">
        <f t="shared" si="2"/>
        <v>361</v>
      </c>
      <c r="H24" s="72">
        <v>12</v>
      </c>
      <c r="I24" s="64">
        <f t="shared" si="4"/>
        <v>113</v>
      </c>
      <c r="J24" s="72">
        <f t="shared" si="0"/>
        <v>66</v>
      </c>
      <c r="K24" s="65">
        <f t="shared" si="3"/>
        <v>750</v>
      </c>
    </row>
    <row r="25" spans="1:11" ht="12.75">
      <c r="A25" s="17">
        <v>1986</v>
      </c>
      <c r="B25" s="72">
        <v>17</v>
      </c>
      <c r="C25" s="64">
        <f t="shared" si="1"/>
        <v>265</v>
      </c>
      <c r="D25" s="72">
        <v>7</v>
      </c>
      <c r="E25" s="64">
        <f t="shared" si="5"/>
        <v>35</v>
      </c>
      <c r="F25" s="62">
        <v>23</v>
      </c>
      <c r="G25" s="64">
        <f t="shared" si="2"/>
        <v>384</v>
      </c>
      <c r="H25" s="72">
        <v>15</v>
      </c>
      <c r="I25" s="64">
        <f t="shared" si="4"/>
        <v>128</v>
      </c>
      <c r="J25" s="72">
        <f t="shared" si="0"/>
        <v>62</v>
      </c>
      <c r="K25" s="65">
        <f t="shared" si="3"/>
        <v>812</v>
      </c>
    </row>
    <row r="26" spans="1:11" ht="12.75">
      <c r="A26" s="17">
        <v>1987</v>
      </c>
      <c r="B26" s="72">
        <v>24</v>
      </c>
      <c r="C26" s="64">
        <f t="shared" si="1"/>
        <v>289</v>
      </c>
      <c r="D26" s="72">
        <v>14</v>
      </c>
      <c r="E26" s="64">
        <f t="shared" si="5"/>
        <v>49</v>
      </c>
      <c r="F26" s="62">
        <v>39</v>
      </c>
      <c r="G26" s="64">
        <f t="shared" si="2"/>
        <v>423</v>
      </c>
      <c r="H26" s="72">
        <v>9</v>
      </c>
      <c r="I26" s="64">
        <f t="shared" si="4"/>
        <v>137</v>
      </c>
      <c r="J26" s="72">
        <f t="shared" si="0"/>
        <v>86</v>
      </c>
      <c r="K26" s="65">
        <f t="shared" si="3"/>
        <v>898</v>
      </c>
    </row>
    <row r="27" spans="1:11" ht="12.75">
      <c r="A27" s="17">
        <v>1988</v>
      </c>
      <c r="B27" s="72">
        <v>23</v>
      </c>
      <c r="C27" s="64">
        <f t="shared" si="1"/>
        <v>312</v>
      </c>
      <c r="D27" s="72">
        <v>10</v>
      </c>
      <c r="E27" s="64">
        <f t="shared" si="5"/>
        <v>59</v>
      </c>
      <c r="F27" s="62">
        <v>33</v>
      </c>
      <c r="G27" s="64">
        <f t="shared" si="2"/>
        <v>456</v>
      </c>
      <c r="H27" s="72">
        <v>20</v>
      </c>
      <c r="I27" s="64">
        <f t="shared" si="4"/>
        <v>157</v>
      </c>
      <c r="J27" s="72">
        <f t="shared" si="0"/>
        <v>86</v>
      </c>
      <c r="K27" s="65">
        <f t="shared" si="3"/>
        <v>984</v>
      </c>
    </row>
    <row r="28" spans="1:11" ht="12.75">
      <c r="A28" s="17">
        <v>1989</v>
      </c>
      <c r="B28" s="72">
        <v>17</v>
      </c>
      <c r="C28" s="64">
        <f t="shared" si="1"/>
        <v>329</v>
      </c>
      <c r="D28" s="72">
        <v>18</v>
      </c>
      <c r="E28" s="64">
        <f t="shared" si="5"/>
        <v>77</v>
      </c>
      <c r="F28" s="62">
        <v>34</v>
      </c>
      <c r="G28" s="64">
        <f t="shared" si="2"/>
        <v>490</v>
      </c>
      <c r="H28" s="72">
        <v>12</v>
      </c>
      <c r="I28" s="64">
        <f t="shared" si="4"/>
        <v>169</v>
      </c>
      <c r="J28" s="72">
        <f t="shared" si="0"/>
        <v>81</v>
      </c>
      <c r="K28" s="65">
        <f t="shared" si="3"/>
        <v>1065</v>
      </c>
    </row>
    <row r="29" spans="1:11" ht="12.75">
      <c r="A29" s="17">
        <v>1990</v>
      </c>
      <c r="B29" s="72">
        <v>24</v>
      </c>
      <c r="C29" s="64">
        <f t="shared" si="1"/>
        <v>353</v>
      </c>
      <c r="D29" s="72">
        <v>5</v>
      </c>
      <c r="E29" s="64">
        <f t="shared" si="5"/>
        <v>82</v>
      </c>
      <c r="F29" s="62">
        <v>35</v>
      </c>
      <c r="G29" s="64">
        <f t="shared" si="2"/>
        <v>525</v>
      </c>
      <c r="H29" s="72">
        <v>14</v>
      </c>
      <c r="I29" s="64">
        <f t="shared" si="4"/>
        <v>183</v>
      </c>
      <c r="J29" s="72">
        <f t="shared" si="0"/>
        <v>78</v>
      </c>
      <c r="K29" s="65">
        <f t="shared" si="3"/>
        <v>1143</v>
      </c>
    </row>
    <row r="30" spans="1:11" ht="12.75">
      <c r="A30" s="17">
        <v>1991</v>
      </c>
      <c r="B30" s="72">
        <v>21</v>
      </c>
      <c r="C30" s="64">
        <f t="shared" si="1"/>
        <v>374</v>
      </c>
      <c r="D30" s="72">
        <v>13</v>
      </c>
      <c r="E30" s="64">
        <f t="shared" si="5"/>
        <v>95</v>
      </c>
      <c r="F30" s="62">
        <v>31</v>
      </c>
      <c r="G30" s="64">
        <f t="shared" si="2"/>
        <v>556</v>
      </c>
      <c r="H30" s="72">
        <v>16</v>
      </c>
      <c r="I30" s="64">
        <f t="shared" si="4"/>
        <v>199</v>
      </c>
      <c r="J30" s="72">
        <f t="shared" si="0"/>
        <v>81</v>
      </c>
      <c r="K30" s="65">
        <f t="shared" si="3"/>
        <v>1224</v>
      </c>
    </row>
    <row r="31" spans="1:11" ht="12.75">
      <c r="A31" s="17">
        <v>1992</v>
      </c>
      <c r="B31" s="72">
        <v>28</v>
      </c>
      <c r="C31" s="64">
        <f t="shared" si="1"/>
        <v>402</v>
      </c>
      <c r="D31" s="72">
        <v>15</v>
      </c>
      <c r="E31" s="64">
        <f t="shared" si="5"/>
        <v>110</v>
      </c>
      <c r="F31" s="62">
        <v>24</v>
      </c>
      <c r="G31" s="64">
        <f t="shared" si="2"/>
        <v>580</v>
      </c>
      <c r="H31" s="72">
        <v>21</v>
      </c>
      <c r="I31" s="64">
        <f t="shared" si="4"/>
        <v>220</v>
      </c>
      <c r="J31" s="72">
        <f t="shared" si="0"/>
        <v>88</v>
      </c>
      <c r="K31" s="65">
        <f t="shared" si="3"/>
        <v>1312</v>
      </c>
    </row>
    <row r="32" spans="1:11" ht="12.75">
      <c r="A32" s="17">
        <v>1993</v>
      </c>
      <c r="B32" s="72">
        <v>31</v>
      </c>
      <c r="C32" s="64">
        <f t="shared" si="1"/>
        <v>433</v>
      </c>
      <c r="D32" s="72">
        <v>20</v>
      </c>
      <c r="E32" s="64">
        <f t="shared" si="5"/>
        <v>130</v>
      </c>
      <c r="F32" s="62">
        <v>34</v>
      </c>
      <c r="G32" s="64">
        <f t="shared" si="2"/>
        <v>614</v>
      </c>
      <c r="H32" s="72">
        <v>17</v>
      </c>
      <c r="I32" s="64">
        <f t="shared" si="4"/>
        <v>237</v>
      </c>
      <c r="J32" s="72">
        <f t="shared" si="0"/>
        <v>102</v>
      </c>
      <c r="K32" s="65">
        <f t="shared" si="3"/>
        <v>1414</v>
      </c>
    </row>
    <row r="33" spans="1:11" ht="12.75">
      <c r="A33" s="17">
        <v>1994</v>
      </c>
      <c r="B33" s="72">
        <v>27</v>
      </c>
      <c r="C33" s="64">
        <f t="shared" si="1"/>
        <v>460</v>
      </c>
      <c r="D33" s="72">
        <v>14</v>
      </c>
      <c r="E33" s="64">
        <f t="shared" si="5"/>
        <v>144</v>
      </c>
      <c r="F33" s="62">
        <v>37</v>
      </c>
      <c r="G33" s="64">
        <f t="shared" si="2"/>
        <v>651</v>
      </c>
      <c r="H33" s="72">
        <v>14</v>
      </c>
      <c r="I33" s="64">
        <f t="shared" si="4"/>
        <v>251</v>
      </c>
      <c r="J33" s="72">
        <f t="shared" si="0"/>
        <v>92</v>
      </c>
      <c r="K33" s="65">
        <f t="shared" si="3"/>
        <v>1506</v>
      </c>
    </row>
    <row r="34" spans="1:11" ht="12.75">
      <c r="A34" s="17">
        <v>1995</v>
      </c>
      <c r="B34" s="72">
        <v>22</v>
      </c>
      <c r="C34" s="64">
        <f t="shared" si="1"/>
        <v>482</v>
      </c>
      <c r="D34" s="72">
        <v>21</v>
      </c>
      <c r="E34" s="64">
        <f t="shared" si="5"/>
        <v>165</v>
      </c>
      <c r="F34" s="62">
        <v>19</v>
      </c>
      <c r="G34" s="64">
        <f t="shared" si="2"/>
        <v>670</v>
      </c>
      <c r="H34" s="72">
        <v>18</v>
      </c>
      <c r="I34" s="64">
        <f t="shared" si="4"/>
        <v>269</v>
      </c>
      <c r="J34" s="72">
        <f t="shared" si="0"/>
        <v>80</v>
      </c>
      <c r="K34" s="65">
        <f t="shared" si="3"/>
        <v>1586</v>
      </c>
    </row>
    <row r="35" spans="1:11" ht="12.75">
      <c r="A35" s="17">
        <v>1996</v>
      </c>
      <c r="B35" s="72">
        <v>31</v>
      </c>
      <c r="C35" s="64">
        <f t="shared" si="1"/>
        <v>513</v>
      </c>
      <c r="D35" s="72">
        <v>25</v>
      </c>
      <c r="E35" s="64">
        <f t="shared" si="5"/>
        <v>190</v>
      </c>
      <c r="F35" s="62">
        <v>26</v>
      </c>
      <c r="G35" s="64">
        <f t="shared" si="2"/>
        <v>696</v>
      </c>
      <c r="H35" s="72">
        <v>17</v>
      </c>
      <c r="I35" s="64">
        <f t="shared" si="4"/>
        <v>286</v>
      </c>
      <c r="J35" s="72">
        <f t="shared" si="0"/>
        <v>99</v>
      </c>
      <c r="K35" s="65">
        <f t="shared" si="3"/>
        <v>1685</v>
      </c>
    </row>
    <row r="36" spans="1:11" ht="12.75">
      <c r="A36" s="17">
        <v>1997</v>
      </c>
      <c r="B36" s="72">
        <v>32</v>
      </c>
      <c r="C36" s="64">
        <f t="shared" si="1"/>
        <v>545</v>
      </c>
      <c r="D36" s="72">
        <v>17</v>
      </c>
      <c r="E36" s="64">
        <f t="shared" si="5"/>
        <v>207</v>
      </c>
      <c r="F36" s="62">
        <v>52</v>
      </c>
      <c r="G36" s="64">
        <f t="shared" si="2"/>
        <v>748</v>
      </c>
      <c r="H36" s="72">
        <v>22</v>
      </c>
      <c r="I36" s="64">
        <f t="shared" si="4"/>
        <v>308</v>
      </c>
      <c r="J36" s="72">
        <f t="shared" si="0"/>
        <v>123</v>
      </c>
      <c r="K36" s="65">
        <f t="shared" si="3"/>
        <v>1808</v>
      </c>
    </row>
    <row r="37" spans="1:11" ht="12.75">
      <c r="A37" s="17">
        <v>1998</v>
      </c>
      <c r="B37" s="72">
        <v>34</v>
      </c>
      <c r="C37" s="64">
        <f t="shared" si="1"/>
        <v>579</v>
      </c>
      <c r="D37" s="72">
        <v>29</v>
      </c>
      <c r="E37" s="64">
        <f t="shared" si="5"/>
        <v>236</v>
      </c>
      <c r="F37" s="62">
        <v>34</v>
      </c>
      <c r="G37" s="64">
        <f t="shared" si="2"/>
        <v>782</v>
      </c>
      <c r="H37" s="72">
        <v>23</v>
      </c>
      <c r="I37" s="64">
        <f t="shared" si="4"/>
        <v>331</v>
      </c>
      <c r="J37" s="72">
        <f t="shared" si="0"/>
        <v>120</v>
      </c>
      <c r="K37" s="65">
        <f t="shared" si="3"/>
        <v>1928</v>
      </c>
    </row>
    <row r="38" spans="1:11" ht="12.75">
      <c r="A38" s="18">
        <v>1999</v>
      </c>
      <c r="B38" s="92">
        <v>23</v>
      </c>
      <c r="C38" s="67">
        <f t="shared" si="1"/>
        <v>602</v>
      </c>
      <c r="D38" s="92">
        <v>20</v>
      </c>
      <c r="E38" s="68">
        <f t="shared" si="5"/>
        <v>256</v>
      </c>
      <c r="F38" s="66">
        <v>46</v>
      </c>
      <c r="G38" s="67">
        <f t="shared" si="2"/>
        <v>828</v>
      </c>
      <c r="H38" s="92">
        <v>16</v>
      </c>
      <c r="I38" s="68">
        <f t="shared" si="4"/>
        <v>347</v>
      </c>
      <c r="J38" s="92">
        <f t="shared" si="0"/>
        <v>105</v>
      </c>
      <c r="K38" s="69">
        <f t="shared" si="3"/>
        <v>2033</v>
      </c>
    </row>
    <row r="39" spans="1:11" s="7" customFormat="1" ht="20.25" customHeight="1">
      <c r="A39" s="17">
        <v>2000</v>
      </c>
      <c r="B39" s="72">
        <v>24</v>
      </c>
      <c r="C39" s="64">
        <f t="shared" si="1"/>
        <v>626</v>
      </c>
      <c r="D39" s="72">
        <v>17</v>
      </c>
      <c r="E39" s="64">
        <f t="shared" si="5"/>
        <v>273</v>
      </c>
      <c r="F39" s="62">
        <v>37</v>
      </c>
      <c r="G39" s="64">
        <f t="shared" si="2"/>
        <v>865</v>
      </c>
      <c r="H39" s="72">
        <v>12</v>
      </c>
      <c r="I39" s="64">
        <f t="shared" si="4"/>
        <v>359</v>
      </c>
      <c r="J39" s="72">
        <f t="shared" si="0"/>
        <v>90</v>
      </c>
      <c r="K39" s="65">
        <f t="shared" si="3"/>
        <v>2123</v>
      </c>
    </row>
    <row r="40" spans="1:11" ht="12.75">
      <c r="A40" s="17">
        <v>2001</v>
      </c>
      <c r="B40" s="72">
        <v>32</v>
      </c>
      <c r="C40" s="64">
        <f t="shared" si="1"/>
        <v>658</v>
      </c>
      <c r="D40" s="72">
        <v>19</v>
      </c>
      <c r="E40" s="64">
        <f t="shared" si="5"/>
        <v>292</v>
      </c>
      <c r="F40" s="62">
        <v>42</v>
      </c>
      <c r="G40" s="64">
        <f t="shared" si="2"/>
        <v>907</v>
      </c>
      <c r="H40" s="72">
        <v>25</v>
      </c>
      <c r="I40" s="64">
        <f t="shared" si="4"/>
        <v>384</v>
      </c>
      <c r="J40" s="72">
        <f t="shared" si="0"/>
        <v>118</v>
      </c>
      <c r="K40" s="65">
        <f t="shared" si="3"/>
        <v>2241</v>
      </c>
    </row>
    <row r="41" spans="1:11" ht="12.75">
      <c r="A41" s="17">
        <v>2002</v>
      </c>
      <c r="B41" s="72">
        <v>36</v>
      </c>
      <c r="C41" s="64">
        <f t="shared" si="1"/>
        <v>694</v>
      </c>
      <c r="D41" s="72">
        <v>21</v>
      </c>
      <c r="E41" s="64">
        <f t="shared" si="5"/>
        <v>313</v>
      </c>
      <c r="F41" s="62">
        <v>36</v>
      </c>
      <c r="G41" s="64">
        <f t="shared" si="2"/>
        <v>943</v>
      </c>
      <c r="H41" s="72">
        <v>21</v>
      </c>
      <c r="I41" s="64">
        <f t="shared" si="4"/>
        <v>405</v>
      </c>
      <c r="J41" s="72">
        <f t="shared" si="0"/>
        <v>114</v>
      </c>
      <c r="K41" s="65">
        <f t="shared" si="3"/>
        <v>2355</v>
      </c>
    </row>
    <row r="42" spans="1:11" ht="12.75">
      <c r="A42" s="17">
        <v>2003</v>
      </c>
      <c r="B42" s="72">
        <v>37</v>
      </c>
      <c r="C42" s="64">
        <f t="shared" si="1"/>
        <v>731</v>
      </c>
      <c r="D42" s="72">
        <v>23</v>
      </c>
      <c r="E42" s="64">
        <f t="shared" si="5"/>
        <v>336</v>
      </c>
      <c r="F42" s="62">
        <v>43</v>
      </c>
      <c r="G42" s="64">
        <f t="shared" si="2"/>
        <v>986</v>
      </c>
      <c r="H42" s="72">
        <v>27</v>
      </c>
      <c r="I42" s="64">
        <f t="shared" si="4"/>
        <v>432</v>
      </c>
      <c r="J42" s="72">
        <f t="shared" si="0"/>
        <v>130</v>
      </c>
      <c r="K42" s="65">
        <f t="shared" si="3"/>
        <v>2485</v>
      </c>
    </row>
    <row r="43" spans="1:11" ht="12.75">
      <c r="A43" s="17">
        <v>2004</v>
      </c>
      <c r="B43" s="72">
        <v>31</v>
      </c>
      <c r="C43" s="64">
        <f t="shared" si="1"/>
        <v>762</v>
      </c>
      <c r="D43" s="72">
        <v>32</v>
      </c>
      <c r="E43" s="64">
        <f t="shared" si="5"/>
        <v>368</v>
      </c>
      <c r="F43" s="62">
        <v>56</v>
      </c>
      <c r="G43" s="64">
        <f t="shared" si="2"/>
        <v>1042</v>
      </c>
      <c r="H43" s="72">
        <v>23</v>
      </c>
      <c r="I43" s="64">
        <f t="shared" si="4"/>
        <v>455</v>
      </c>
      <c r="J43" s="72">
        <f t="shared" si="0"/>
        <v>142</v>
      </c>
      <c r="K43" s="65">
        <f t="shared" si="3"/>
        <v>2627</v>
      </c>
    </row>
    <row r="44" spans="1:11" ht="12.75">
      <c r="A44" s="17">
        <v>2005</v>
      </c>
      <c r="B44" s="72">
        <f>13+8+8+8</f>
        <v>37</v>
      </c>
      <c r="C44" s="64">
        <f t="shared" si="1"/>
        <v>799</v>
      </c>
      <c r="D44" s="72">
        <f>12+12+4+15</f>
        <v>43</v>
      </c>
      <c r="E44" s="64">
        <f t="shared" si="5"/>
        <v>411</v>
      </c>
      <c r="F44" s="74">
        <f>22+22+6+18</f>
        <v>68</v>
      </c>
      <c r="G44" s="64">
        <f t="shared" si="2"/>
        <v>1110</v>
      </c>
      <c r="H44" s="153">
        <f>5+9+2+8</f>
        <v>24</v>
      </c>
      <c r="I44" s="145">
        <f t="shared" si="4"/>
        <v>479</v>
      </c>
      <c r="J44" s="72">
        <f aca="true" t="shared" si="6" ref="J44:J49">B44+D44+F44+H44</f>
        <v>172</v>
      </c>
      <c r="K44" s="65">
        <f aca="true" t="shared" si="7" ref="K44:K49">K43+J44</f>
        <v>2799</v>
      </c>
    </row>
    <row r="45" spans="1:11" ht="12.75">
      <c r="A45" s="17">
        <v>2006</v>
      </c>
      <c r="B45" s="72">
        <f>8+11+4+9</f>
        <v>32</v>
      </c>
      <c r="C45" s="64">
        <f aca="true" t="shared" si="8" ref="C45:C50">C44+B45</f>
        <v>831</v>
      </c>
      <c r="D45" s="160">
        <f>6+7+0+9</f>
        <v>22</v>
      </c>
      <c r="E45" s="64">
        <f aca="true" t="shared" si="9" ref="E45:E50">E44+D45</f>
        <v>433</v>
      </c>
      <c r="F45" s="74">
        <f>11+17+6+16</f>
        <v>50</v>
      </c>
      <c r="G45" s="64">
        <f aca="true" t="shared" si="10" ref="G45:G50">G44+F45</f>
        <v>1160</v>
      </c>
      <c r="H45" s="153">
        <f>8+6+4+9</f>
        <v>27</v>
      </c>
      <c r="I45" s="145">
        <f aca="true" t="shared" si="11" ref="I45:I50">I44+H45</f>
        <v>506</v>
      </c>
      <c r="J45" s="72">
        <f t="shared" si="6"/>
        <v>131</v>
      </c>
      <c r="K45" s="65">
        <f t="shared" si="7"/>
        <v>2930</v>
      </c>
    </row>
    <row r="46" spans="1:11" ht="12.75">
      <c r="A46" s="17">
        <v>2007</v>
      </c>
      <c r="B46" s="72">
        <f>9+13+6+9</f>
        <v>37</v>
      </c>
      <c r="C46" s="64">
        <f t="shared" si="8"/>
        <v>868</v>
      </c>
      <c r="D46" s="160">
        <f>8+3+2+2</f>
        <v>15</v>
      </c>
      <c r="E46" s="64">
        <f t="shared" si="9"/>
        <v>448</v>
      </c>
      <c r="F46" s="74">
        <f>13+16+6+13</f>
        <v>48</v>
      </c>
      <c r="G46" s="64">
        <f t="shared" si="10"/>
        <v>1208</v>
      </c>
      <c r="H46" s="153">
        <f>5+7+3+8</f>
        <v>23</v>
      </c>
      <c r="I46" s="145">
        <f t="shared" si="11"/>
        <v>529</v>
      </c>
      <c r="J46" s="72">
        <f t="shared" si="6"/>
        <v>123</v>
      </c>
      <c r="K46" s="65">
        <f t="shared" si="7"/>
        <v>3053</v>
      </c>
    </row>
    <row r="47" spans="1:11" ht="12.75">
      <c r="A47" s="17">
        <v>2008</v>
      </c>
      <c r="B47" s="72">
        <f>8+6+5+7</f>
        <v>26</v>
      </c>
      <c r="C47" s="64">
        <f t="shared" si="8"/>
        <v>894</v>
      </c>
      <c r="D47" s="160">
        <f>7+6+5+11</f>
        <v>29</v>
      </c>
      <c r="E47" s="64">
        <f t="shared" si="9"/>
        <v>477</v>
      </c>
      <c r="F47" s="74">
        <f>11+19+7+20</f>
        <v>57</v>
      </c>
      <c r="G47" s="64">
        <f t="shared" si="10"/>
        <v>1265</v>
      </c>
      <c r="H47" s="153">
        <f>10+4+3+7</f>
        <v>24</v>
      </c>
      <c r="I47" s="145">
        <f t="shared" si="11"/>
        <v>553</v>
      </c>
      <c r="J47" s="72">
        <f t="shared" si="6"/>
        <v>136</v>
      </c>
      <c r="K47" s="65">
        <f t="shared" si="7"/>
        <v>3189</v>
      </c>
    </row>
    <row r="48" spans="1:11" ht="12.75">
      <c r="A48" s="17">
        <v>2009</v>
      </c>
      <c r="B48" s="72">
        <f>8+13+5+9</f>
        <v>35</v>
      </c>
      <c r="C48" s="64">
        <f t="shared" si="8"/>
        <v>929</v>
      </c>
      <c r="D48" s="160">
        <f>13+11+7+16</f>
        <v>47</v>
      </c>
      <c r="E48" s="64">
        <f t="shared" si="9"/>
        <v>524</v>
      </c>
      <c r="F48" s="153">
        <f>11+13+7+14</f>
        <v>45</v>
      </c>
      <c r="G48" s="64">
        <f t="shared" si="10"/>
        <v>1310</v>
      </c>
      <c r="H48" s="153">
        <f>10+11+5+10</f>
        <v>36</v>
      </c>
      <c r="I48" s="145">
        <f t="shared" si="11"/>
        <v>589</v>
      </c>
      <c r="J48" s="72">
        <f t="shared" si="6"/>
        <v>163</v>
      </c>
      <c r="K48" s="65">
        <f t="shared" si="7"/>
        <v>3352</v>
      </c>
    </row>
    <row r="49" spans="1:11" ht="12.75">
      <c r="A49" s="17">
        <v>2010</v>
      </c>
      <c r="B49" s="72">
        <f>7+10+5+9</f>
        <v>31</v>
      </c>
      <c r="C49" s="64">
        <f t="shared" si="8"/>
        <v>960</v>
      </c>
      <c r="D49" s="160">
        <f>9+11+8+9</f>
        <v>37</v>
      </c>
      <c r="E49" s="64">
        <f t="shared" si="9"/>
        <v>561</v>
      </c>
      <c r="F49" s="153">
        <f>17+17+10+15</f>
        <v>59</v>
      </c>
      <c r="G49" s="64">
        <f t="shared" si="10"/>
        <v>1369</v>
      </c>
      <c r="H49" s="153">
        <f>14+11+5+11</f>
        <v>41</v>
      </c>
      <c r="I49" s="145">
        <f t="shared" si="11"/>
        <v>630</v>
      </c>
      <c r="J49" s="72">
        <f t="shared" si="6"/>
        <v>168</v>
      </c>
      <c r="K49" s="65">
        <f t="shared" si="7"/>
        <v>3520</v>
      </c>
    </row>
    <row r="50" spans="1:11" s="170" customFormat="1" ht="12.75">
      <c r="A50" s="171">
        <v>2011</v>
      </c>
      <c r="B50" s="172">
        <f>14+10+8+11</f>
        <v>43</v>
      </c>
      <c r="C50" s="140">
        <f t="shared" si="8"/>
        <v>1003</v>
      </c>
      <c r="D50" s="173">
        <f>10+19+5+13</f>
        <v>47</v>
      </c>
      <c r="E50" s="140">
        <f t="shared" si="9"/>
        <v>608</v>
      </c>
      <c r="F50" s="174">
        <f>19+19+9+19</f>
        <v>66</v>
      </c>
      <c r="G50" s="140">
        <f t="shared" si="10"/>
        <v>1435</v>
      </c>
      <c r="H50" s="174">
        <f>7+12+5+4</f>
        <v>28</v>
      </c>
      <c r="I50" s="169">
        <f t="shared" si="11"/>
        <v>658</v>
      </c>
      <c r="J50" s="172">
        <f aca="true" t="shared" si="12" ref="J50:J55">B50+D50+F50+H50</f>
        <v>184</v>
      </c>
      <c r="K50" s="147">
        <f aca="true" t="shared" si="13" ref="K50:K55">K49+J50</f>
        <v>3704</v>
      </c>
    </row>
    <row r="51" spans="1:11" s="170" customFormat="1" ht="12.75">
      <c r="A51" s="171">
        <v>2012</v>
      </c>
      <c r="B51" s="172">
        <f>9+10+6+7</f>
        <v>32</v>
      </c>
      <c r="C51" s="140">
        <f aca="true" t="shared" si="14" ref="C51:C56">C50+B51</f>
        <v>1035</v>
      </c>
      <c r="D51" s="173">
        <f>12+11+5+11</f>
        <v>39</v>
      </c>
      <c r="E51" s="140">
        <f aca="true" t="shared" si="15" ref="E51:E56">E50+D51</f>
        <v>647</v>
      </c>
      <c r="F51" s="174">
        <f>21+18+10+14</f>
        <v>63</v>
      </c>
      <c r="G51" s="140">
        <f aca="true" t="shared" si="16" ref="G51:G56">G50+F51</f>
        <v>1498</v>
      </c>
      <c r="H51" s="174">
        <f>4+7+3+7</f>
        <v>21</v>
      </c>
      <c r="I51" s="169">
        <f aca="true" t="shared" si="17" ref="I51:I56">I50+H51</f>
        <v>679</v>
      </c>
      <c r="J51" s="172">
        <f t="shared" si="12"/>
        <v>155</v>
      </c>
      <c r="K51" s="147">
        <f t="shared" si="13"/>
        <v>3859</v>
      </c>
    </row>
    <row r="52" spans="1:11" s="229" customFormat="1" ht="12.75">
      <c r="A52" s="168">
        <v>2013</v>
      </c>
      <c r="B52" s="173">
        <f>10+11+1+10</f>
        <v>32</v>
      </c>
      <c r="C52" s="169">
        <f t="shared" si="14"/>
        <v>1067</v>
      </c>
      <c r="D52" s="173">
        <f>9+15+8+15</f>
        <v>47</v>
      </c>
      <c r="E52" s="169">
        <f t="shared" si="15"/>
        <v>694</v>
      </c>
      <c r="F52" s="174">
        <f>18+19+5+8</f>
        <v>50</v>
      </c>
      <c r="G52" s="169">
        <f t="shared" si="16"/>
        <v>1548</v>
      </c>
      <c r="H52" s="174">
        <f>7+6+3+6</f>
        <v>22</v>
      </c>
      <c r="I52" s="169">
        <f t="shared" si="17"/>
        <v>701</v>
      </c>
      <c r="J52" s="173">
        <f t="shared" si="12"/>
        <v>151</v>
      </c>
      <c r="K52" s="155">
        <f t="shared" si="13"/>
        <v>4010</v>
      </c>
    </row>
    <row r="53" spans="1:11" s="206" customFormat="1" ht="12.75">
      <c r="A53" s="168">
        <v>2014</v>
      </c>
      <c r="B53" s="173">
        <f>9+12+5+10</f>
        <v>36</v>
      </c>
      <c r="C53" s="169">
        <f t="shared" si="14"/>
        <v>1103</v>
      </c>
      <c r="D53" s="173">
        <f>12+7+6+13</f>
        <v>38</v>
      </c>
      <c r="E53" s="169">
        <f t="shared" si="15"/>
        <v>732</v>
      </c>
      <c r="F53" s="174">
        <f>14+11+8+21</f>
        <v>54</v>
      </c>
      <c r="G53" s="169">
        <f t="shared" si="16"/>
        <v>1602</v>
      </c>
      <c r="H53" s="174">
        <f>4+8+3+8</f>
        <v>23</v>
      </c>
      <c r="I53" s="169">
        <f t="shared" si="17"/>
        <v>724</v>
      </c>
      <c r="J53" s="173">
        <f t="shared" si="12"/>
        <v>151</v>
      </c>
      <c r="K53" s="155">
        <f t="shared" si="13"/>
        <v>4161</v>
      </c>
    </row>
    <row r="54" spans="1:11" s="206" customFormat="1" ht="12.75">
      <c r="A54" s="168">
        <v>2015</v>
      </c>
      <c r="B54" s="173">
        <f>10+11+4+6</f>
        <v>31</v>
      </c>
      <c r="C54" s="169">
        <f t="shared" si="14"/>
        <v>1134</v>
      </c>
      <c r="D54" s="173">
        <f>4+9+5+12</f>
        <v>30</v>
      </c>
      <c r="E54" s="169">
        <f t="shared" si="15"/>
        <v>762</v>
      </c>
      <c r="F54" s="174">
        <f>15+20+8+10</f>
        <v>53</v>
      </c>
      <c r="G54" s="169">
        <f t="shared" si="16"/>
        <v>1655</v>
      </c>
      <c r="H54" s="174">
        <f>4+3+4+6</f>
        <v>17</v>
      </c>
      <c r="I54" s="169">
        <f t="shared" si="17"/>
        <v>741</v>
      </c>
      <c r="J54" s="173">
        <f t="shared" si="12"/>
        <v>131</v>
      </c>
      <c r="K54" s="155">
        <f t="shared" si="13"/>
        <v>4292</v>
      </c>
    </row>
    <row r="55" spans="1:11" ht="12.75">
      <c r="A55" s="164">
        <v>2016</v>
      </c>
      <c r="B55" s="173">
        <f>7+11+4+8</f>
        <v>30</v>
      </c>
      <c r="C55" s="169">
        <f t="shared" si="14"/>
        <v>1164</v>
      </c>
      <c r="D55" s="173">
        <f>7+10+5+10</f>
        <v>32</v>
      </c>
      <c r="E55" s="169">
        <f t="shared" si="15"/>
        <v>794</v>
      </c>
      <c r="F55" s="174">
        <f>14+13+9+12</f>
        <v>48</v>
      </c>
      <c r="G55" s="169">
        <f t="shared" si="16"/>
        <v>1703</v>
      </c>
      <c r="H55" s="174">
        <f>5+9+3+8</f>
        <v>25</v>
      </c>
      <c r="I55" s="169">
        <f t="shared" si="17"/>
        <v>766</v>
      </c>
      <c r="J55" s="173">
        <f t="shared" si="12"/>
        <v>135</v>
      </c>
      <c r="K55" s="155">
        <f t="shared" si="13"/>
        <v>4427</v>
      </c>
    </row>
    <row r="56" spans="1:11" s="264" customFormat="1" ht="12.75">
      <c r="A56" s="164">
        <v>2017</v>
      </c>
      <c r="B56" s="230">
        <f>8+8+4+11</f>
        <v>31</v>
      </c>
      <c r="C56" s="189">
        <f t="shared" si="14"/>
        <v>1195</v>
      </c>
      <c r="D56" s="230">
        <f>9+7+5+14</f>
        <v>35</v>
      </c>
      <c r="E56" s="189">
        <f t="shared" si="15"/>
        <v>829</v>
      </c>
      <c r="F56" s="250">
        <f>8+12+6+11</f>
        <v>37</v>
      </c>
      <c r="G56" s="189">
        <f t="shared" si="16"/>
        <v>1740</v>
      </c>
      <c r="H56" s="250">
        <f>6+5+1+9</f>
        <v>21</v>
      </c>
      <c r="I56" s="189">
        <f t="shared" si="17"/>
        <v>787</v>
      </c>
      <c r="J56" s="230">
        <f>B56+D56+F56+H56</f>
        <v>124</v>
      </c>
      <c r="K56" s="163">
        <f>K55+J56</f>
        <v>4551</v>
      </c>
    </row>
    <row r="57" spans="1:11" ht="12.75">
      <c r="A57" s="221">
        <v>2018</v>
      </c>
      <c r="B57" s="230">
        <f>5+7+3+9</f>
        <v>24</v>
      </c>
      <c r="C57" s="189">
        <f>C56+B57</f>
        <v>1219</v>
      </c>
      <c r="D57" s="230">
        <f>13+12+5+6</f>
        <v>36</v>
      </c>
      <c r="E57" s="189">
        <f>E56+D57</f>
        <v>865</v>
      </c>
      <c r="F57" s="250">
        <f>13+16+8+12</f>
        <v>49</v>
      </c>
      <c r="G57" s="189">
        <f>G56+F57</f>
        <v>1789</v>
      </c>
      <c r="H57" s="250">
        <f>10+9+5+11</f>
        <v>35</v>
      </c>
      <c r="I57" s="189">
        <f>I56+H57</f>
        <v>822</v>
      </c>
      <c r="J57" s="230">
        <f>B57+D57+F57+H57</f>
        <v>144</v>
      </c>
      <c r="K57" s="163">
        <f>K56+J57</f>
        <v>4695</v>
      </c>
    </row>
    <row r="58" spans="1:11" ht="12.75">
      <c r="A58" s="164">
        <v>2019</v>
      </c>
      <c r="B58" s="173">
        <f>9+8+5+14</f>
        <v>36</v>
      </c>
      <c r="C58" s="169">
        <f>C57+B58</f>
        <v>1255</v>
      </c>
      <c r="D58" s="173">
        <f>7+8+6+11</f>
        <v>32</v>
      </c>
      <c r="E58" s="169">
        <f>E57+D58</f>
        <v>897</v>
      </c>
      <c r="F58" s="174">
        <f>10+15+10+20</f>
        <v>55</v>
      </c>
      <c r="G58" s="169">
        <f>G57+F58</f>
        <v>1844</v>
      </c>
      <c r="H58" s="174">
        <f>7+7+4+6</f>
        <v>24</v>
      </c>
      <c r="I58" s="169">
        <f>I57+H58</f>
        <v>846</v>
      </c>
      <c r="J58" s="173">
        <f>B58+D58+F58+H58</f>
        <v>147</v>
      </c>
      <c r="K58" s="155">
        <f>K57+J58</f>
        <v>4842</v>
      </c>
    </row>
    <row r="59" spans="1:11" ht="12.75">
      <c r="A59" s="244">
        <v>2020</v>
      </c>
      <c r="B59" s="205">
        <f>10</f>
        <v>10</v>
      </c>
      <c r="C59" s="194">
        <f>C58+B59</f>
        <v>1265</v>
      </c>
      <c r="D59" s="205">
        <f>8</f>
        <v>8</v>
      </c>
      <c r="E59" s="194">
        <f>E58+D59</f>
        <v>905</v>
      </c>
      <c r="F59" s="199">
        <f>18</f>
        <v>18</v>
      </c>
      <c r="G59" s="194">
        <f>G58+F59</f>
        <v>1862</v>
      </c>
      <c r="H59" s="199">
        <f>4</f>
        <v>4</v>
      </c>
      <c r="I59" s="194">
        <f>I58+H59</f>
        <v>850</v>
      </c>
      <c r="J59" s="205">
        <f>B59+D59+F59+H59</f>
        <v>40</v>
      </c>
      <c r="K59" s="196">
        <f>K58+J59</f>
        <v>4882</v>
      </c>
    </row>
    <row r="60" spans="1:11" ht="12.75">
      <c r="A60" s="17"/>
      <c r="B60" s="112"/>
      <c r="C60" s="10"/>
      <c r="D60" s="114"/>
      <c r="E60" s="40"/>
      <c r="F60" s="35"/>
      <c r="G60" s="35"/>
      <c r="H60" s="37"/>
      <c r="I60" s="35"/>
      <c r="J60" s="37"/>
      <c r="K60" s="30"/>
    </row>
    <row r="61" spans="1:11" ht="12.75">
      <c r="A61" s="17"/>
      <c r="B61" s="112"/>
      <c r="C61" s="10"/>
      <c r="D61" s="114"/>
      <c r="E61" s="40"/>
      <c r="F61" s="35"/>
      <c r="G61" s="35"/>
      <c r="H61" s="37"/>
      <c r="I61" s="35"/>
      <c r="J61" s="37"/>
      <c r="K61" s="30"/>
    </row>
    <row r="62" spans="1:11" ht="12.75">
      <c r="A62" s="17"/>
      <c r="B62" s="112"/>
      <c r="C62" s="109"/>
      <c r="D62" s="114"/>
      <c r="E62" s="40"/>
      <c r="F62" s="35"/>
      <c r="G62" s="35"/>
      <c r="H62" s="37"/>
      <c r="I62" s="35"/>
      <c r="J62" s="37"/>
      <c r="K62" s="30"/>
    </row>
    <row r="63" spans="1:11" ht="12.75">
      <c r="A63" s="17"/>
      <c r="B63" s="112"/>
      <c r="C63" s="109"/>
      <c r="D63" s="114"/>
      <c r="E63" s="40"/>
      <c r="F63" s="35"/>
      <c r="G63" s="35"/>
      <c r="H63" s="37"/>
      <c r="I63" s="35"/>
      <c r="J63" s="37"/>
      <c r="K63" s="30"/>
    </row>
    <row r="64" spans="1:11" ht="12.75">
      <c r="A64" s="17"/>
      <c r="B64" s="112"/>
      <c r="C64" s="109"/>
      <c r="D64" s="114"/>
      <c r="E64" s="40"/>
      <c r="F64" s="35"/>
      <c r="G64" s="35"/>
      <c r="H64" s="37"/>
      <c r="I64" s="35"/>
      <c r="J64" s="37"/>
      <c r="K64" s="30"/>
    </row>
    <row r="65" spans="1:11" ht="12.75">
      <c r="A65" s="17"/>
      <c r="B65" s="112"/>
      <c r="C65" s="109"/>
      <c r="D65" s="114"/>
      <c r="E65" s="40"/>
      <c r="F65" s="35"/>
      <c r="G65" s="35"/>
      <c r="H65" s="37"/>
      <c r="I65" s="35"/>
      <c r="J65" s="37"/>
      <c r="K65" s="30"/>
    </row>
    <row r="66" spans="1:11" ht="12.75">
      <c r="A66" s="17"/>
      <c r="B66" s="112"/>
      <c r="C66" s="109"/>
      <c r="D66" s="114"/>
      <c r="E66" s="40"/>
      <c r="F66" s="35"/>
      <c r="G66" s="35"/>
      <c r="H66" s="37"/>
      <c r="I66" s="35"/>
      <c r="J66" s="37"/>
      <c r="K66" s="30"/>
    </row>
    <row r="67" spans="1:11" ht="12.75">
      <c r="A67" s="17"/>
      <c r="B67" s="112"/>
      <c r="C67" s="109"/>
      <c r="D67" s="114"/>
      <c r="E67" s="40"/>
      <c r="F67" s="35"/>
      <c r="G67" s="35"/>
      <c r="H67" s="37"/>
      <c r="I67" s="35"/>
      <c r="J67" s="37"/>
      <c r="K67" s="30"/>
    </row>
    <row r="68" spans="1:11" ht="12.75">
      <c r="A68" s="17"/>
      <c r="B68" s="112"/>
      <c r="C68" s="109"/>
      <c r="D68" s="114"/>
      <c r="E68" s="40"/>
      <c r="F68" s="35"/>
      <c r="G68" s="35"/>
      <c r="H68" s="37"/>
      <c r="I68" s="35"/>
      <c r="J68" s="37"/>
      <c r="K68" s="30"/>
    </row>
    <row r="69" spans="1:11" ht="12.75">
      <c r="A69" s="17"/>
      <c r="B69" s="112"/>
      <c r="C69" s="109"/>
      <c r="D69" s="114"/>
      <c r="E69" s="40"/>
      <c r="F69" s="35"/>
      <c r="G69" s="35"/>
      <c r="H69" s="37"/>
      <c r="I69" s="35"/>
      <c r="J69" s="37"/>
      <c r="K69" s="30"/>
    </row>
    <row r="70" spans="1:11" ht="12.75">
      <c r="A70" s="17"/>
      <c r="B70" s="112"/>
      <c r="C70" s="109"/>
      <c r="D70" s="114"/>
      <c r="E70" s="40"/>
      <c r="F70" s="35"/>
      <c r="G70" s="35"/>
      <c r="H70" s="37"/>
      <c r="I70" s="35"/>
      <c r="J70" s="37"/>
      <c r="K70" s="30"/>
    </row>
    <row r="71" spans="1:11" ht="12.75">
      <c r="A71" s="17"/>
      <c r="B71" s="112"/>
      <c r="C71" s="109"/>
      <c r="D71" s="114"/>
      <c r="E71" s="40"/>
      <c r="F71" s="35"/>
      <c r="G71" s="35"/>
      <c r="H71" s="37"/>
      <c r="I71" s="35"/>
      <c r="J71" s="37"/>
      <c r="K71" s="30"/>
    </row>
    <row r="72" spans="1:11" ht="12.75">
      <c r="A72" s="18"/>
      <c r="B72" s="113"/>
      <c r="C72" s="110"/>
      <c r="D72" s="42"/>
      <c r="E72" s="41"/>
      <c r="F72" s="36"/>
      <c r="G72" s="36"/>
      <c r="H72" s="38"/>
      <c r="I72" s="36"/>
      <c r="J72" s="38"/>
      <c r="K72" s="33"/>
    </row>
    <row r="73" spans="2:3" ht="12.75">
      <c r="B73" s="100"/>
      <c r="C73" s="100"/>
    </row>
    <row r="74" spans="2:3" ht="12.75">
      <c r="B74" s="100"/>
      <c r="C74" s="100"/>
    </row>
    <row r="75" spans="2:3" ht="12.75">
      <c r="B75" s="100"/>
      <c r="C75" s="100"/>
    </row>
    <row r="76" spans="2:3" ht="12.75">
      <c r="B76" s="100"/>
      <c r="C76" s="100"/>
    </row>
    <row r="77" spans="2:3" ht="12.75">
      <c r="B77" s="100"/>
      <c r="C77" s="100"/>
    </row>
  </sheetData>
  <sheetProtection/>
  <mergeCells count="5">
    <mergeCell ref="J1:K1"/>
    <mergeCell ref="B1:C1"/>
    <mergeCell ref="D1:E1"/>
    <mergeCell ref="F1:G1"/>
    <mergeCell ref="H1:I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  <ignoredErrors>
    <ignoredError sqref="D8:D45 E8:E45 G8:J45 E48 F26:F44 F8:F11 D46:D47 I46:K47 F13:F24 F46:F47 G48 I48:K48 H46:H47 G46:G47 E46:E47 D48 J49 F48 H48 D49:G49 H49 G50 E50 D50 F50 H50:K50 E51 G51 I51:K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K77"/>
  <sheetViews>
    <sheetView showGridLines="0" zoomScalePageLayoutView="0" workbookViewId="0" topLeftCell="A1">
      <pane ySplit="1155" topLeftCell="A40" activePane="bottomLeft" state="split"/>
      <selection pane="topLeft" activeCell="B61" sqref="B61"/>
      <selection pane="bottomLeft" activeCell="F61" sqref="F61"/>
    </sheetView>
  </sheetViews>
  <sheetFormatPr defaultColWidth="9.140625" defaultRowHeight="12.75"/>
  <cols>
    <col min="1" max="1" width="5.7109375" style="1" customWidth="1"/>
    <col min="2" max="11" width="9.7109375" style="0" customWidth="1"/>
  </cols>
  <sheetData>
    <row r="1" spans="1:11" s="6" customFormat="1" ht="20.25" customHeight="1">
      <c r="A1" s="16"/>
      <c r="B1" s="389" t="s">
        <v>4</v>
      </c>
      <c r="C1" s="386"/>
      <c r="D1" s="383" t="s">
        <v>5</v>
      </c>
      <c r="E1" s="384"/>
      <c r="F1" s="383" t="s">
        <v>6</v>
      </c>
      <c r="G1" s="386"/>
      <c r="H1" s="383" t="s">
        <v>7</v>
      </c>
      <c r="I1" s="384"/>
      <c r="J1" s="383" t="s">
        <v>8</v>
      </c>
      <c r="K1" s="385"/>
    </row>
    <row r="2" spans="1:11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</row>
    <row r="3" spans="1:11" ht="17.25" customHeight="1" thickTop="1">
      <c r="A3" s="17">
        <v>1964</v>
      </c>
      <c r="B3" s="62">
        <f>'Nj-AD+LD'!B3</f>
        <v>7</v>
      </c>
      <c r="C3" s="70">
        <f>'Nj-AD+LD'!C3</f>
        <v>7</v>
      </c>
      <c r="D3" s="62"/>
      <c r="E3" s="70"/>
      <c r="F3" s="62"/>
      <c r="G3" s="70"/>
      <c r="H3" s="71"/>
      <c r="I3" s="70"/>
      <c r="J3" s="62">
        <f>'Nj-AD+LD'!AE3</f>
        <v>7</v>
      </c>
      <c r="K3" s="70">
        <f>'Nj-AD+LD'!AF3</f>
        <v>7</v>
      </c>
    </row>
    <row r="4" spans="1:11" ht="12.75">
      <c r="A4" s="17">
        <v>1965</v>
      </c>
      <c r="B4" s="62">
        <f>'Nj-AD+LD'!B4</f>
        <v>9</v>
      </c>
      <c r="C4" s="63">
        <f>'Nj-AD+LD'!C4</f>
        <v>16</v>
      </c>
      <c r="D4" s="62"/>
      <c r="E4" s="64"/>
      <c r="F4" s="62">
        <f>'Nj-AD+LD'!P4</f>
        <v>5</v>
      </c>
      <c r="G4" s="64">
        <f>'Nj-AD+LD'!Q4</f>
        <v>5</v>
      </c>
      <c r="H4" s="62"/>
      <c r="I4" s="64"/>
      <c r="J4" s="62">
        <f>'Nj-AD+LD'!AE4</f>
        <v>14</v>
      </c>
      <c r="K4" s="65">
        <f>'Nj-AD+LD'!AF4</f>
        <v>21</v>
      </c>
    </row>
    <row r="5" spans="1:11" ht="12.75">
      <c r="A5" s="17">
        <v>1966</v>
      </c>
      <c r="B5" s="62">
        <f>'Nj-AD+LD'!B5</f>
        <v>15</v>
      </c>
      <c r="C5" s="63">
        <f>'Nj-AD+LD'!C5</f>
        <v>31</v>
      </c>
      <c r="D5" s="62"/>
      <c r="E5" s="64"/>
      <c r="F5" s="62">
        <f>'Nj-AD+LD'!P5</f>
        <v>24</v>
      </c>
      <c r="G5" s="64">
        <f>'Nj-AD+LD'!Q5</f>
        <v>29</v>
      </c>
      <c r="H5" s="62"/>
      <c r="I5" s="64"/>
      <c r="J5" s="62">
        <f>'Nj-AD+LD'!AE5</f>
        <v>39</v>
      </c>
      <c r="K5" s="65">
        <f>'Nj-AD+LD'!AF5</f>
        <v>60</v>
      </c>
    </row>
    <row r="6" spans="1:11" ht="12.75">
      <c r="A6" s="17">
        <v>1967</v>
      </c>
      <c r="B6" s="62">
        <f>'Nj-AD+LD'!B6</f>
        <v>12</v>
      </c>
      <c r="C6" s="63">
        <f>'Nj-AD+LD'!C6</f>
        <v>43</v>
      </c>
      <c r="D6" s="62"/>
      <c r="E6" s="64"/>
      <c r="F6" s="62">
        <f>'Nj-AD+LD'!P6</f>
        <v>45</v>
      </c>
      <c r="G6" s="64">
        <f>'Nj-AD+LD'!Q6</f>
        <v>74</v>
      </c>
      <c r="H6" s="62"/>
      <c r="I6" s="64"/>
      <c r="J6" s="62">
        <f>'Nj-AD+LD'!AE6</f>
        <v>57</v>
      </c>
      <c r="K6" s="65">
        <f>'Nj-AD+LD'!AF6</f>
        <v>117</v>
      </c>
    </row>
    <row r="7" spans="1:11" ht="12.75">
      <c r="A7" s="17">
        <v>1968</v>
      </c>
      <c r="B7" s="62">
        <f>'Nj-AD+LD'!B7</f>
        <v>15</v>
      </c>
      <c r="C7" s="63">
        <f>'Nj-AD+LD'!C7</f>
        <v>58</v>
      </c>
      <c r="D7" s="62"/>
      <c r="E7" s="64"/>
      <c r="F7" s="62">
        <f>'Nj-AD+LD'!P7</f>
        <v>53</v>
      </c>
      <c r="G7" s="64">
        <f>'Nj-AD+LD'!Q7</f>
        <v>127</v>
      </c>
      <c r="H7" s="62">
        <f>'Nj-AD+LD'!X7</f>
        <v>3</v>
      </c>
      <c r="I7" s="64">
        <f>'Nj-AD+LD'!Y7</f>
        <v>3</v>
      </c>
      <c r="J7" s="62">
        <f>'Nj-AD+LD'!AE7</f>
        <v>71</v>
      </c>
      <c r="K7" s="65">
        <f>'Nj-AD+LD'!AF7</f>
        <v>188</v>
      </c>
    </row>
    <row r="8" spans="1:11" ht="12.75">
      <c r="A8" s="17">
        <v>1969</v>
      </c>
      <c r="B8" s="62">
        <f>'Nj-AD+LD'!B8</f>
        <v>10</v>
      </c>
      <c r="C8" s="63">
        <f>'Nj-AD+LD'!C8</f>
        <v>68</v>
      </c>
      <c r="D8" s="62">
        <f>'Nj-AD+LD'!I8</f>
        <v>6</v>
      </c>
      <c r="E8" s="64">
        <f>'Nj-AD+LD'!J8</f>
        <v>6</v>
      </c>
      <c r="F8" s="62">
        <f>'Nj-AD+LD'!P8</f>
        <v>69</v>
      </c>
      <c r="G8" s="64">
        <f>'Nj-AD+LD'!Q8</f>
        <v>196</v>
      </c>
      <c r="H8" s="62">
        <f>'Nj-AD+LD'!X8</f>
        <v>11</v>
      </c>
      <c r="I8" s="64">
        <f>'Nj-AD+LD'!Y8</f>
        <v>14</v>
      </c>
      <c r="J8" s="62">
        <f>'Nj-AD+LD'!AE8</f>
        <v>96</v>
      </c>
      <c r="K8" s="65">
        <f>'Nj-AD+LD'!AF8</f>
        <v>284</v>
      </c>
    </row>
    <row r="9" spans="1:11" ht="12.75">
      <c r="A9" s="17">
        <v>1970</v>
      </c>
      <c r="B9" s="62">
        <f>'Nj-AD+LD'!B9</f>
        <v>32</v>
      </c>
      <c r="C9" s="63">
        <f>'Nj-AD+LD'!C9</f>
        <v>100</v>
      </c>
      <c r="D9" s="62">
        <f>'Nj-AD+LD'!I9</f>
        <v>16</v>
      </c>
      <c r="E9" s="64">
        <f>'Nj-AD+LD'!J9</f>
        <v>22</v>
      </c>
      <c r="F9" s="62">
        <f>'Nj-AD+LD'!P9</f>
        <v>79</v>
      </c>
      <c r="G9" s="64">
        <f>'Nj-AD+LD'!Q9</f>
        <v>275</v>
      </c>
      <c r="H9" s="62">
        <f>'Nj-AD+LD'!X9</f>
        <v>19</v>
      </c>
      <c r="I9" s="64">
        <f>'Nj-AD+LD'!Y9</f>
        <v>33</v>
      </c>
      <c r="J9" s="62">
        <f>'Nj-AD+LD'!AE9</f>
        <v>146</v>
      </c>
      <c r="K9" s="65">
        <f>'Nj-AD+LD'!AF9</f>
        <v>430</v>
      </c>
    </row>
    <row r="10" spans="1:11" ht="12.75">
      <c r="A10" s="17">
        <v>1971</v>
      </c>
      <c r="B10" s="62">
        <f>'Nj-AD+LD'!B10</f>
        <v>32</v>
      </c>
      <c r="C10" s="63">
        <f>'Nj-AD+LD'!C10</f>
        <v>132</v>
      </c>
      <c r="D10" s="62">
        <f>'Nj-AD+LD'!I10</f>
        <v>20</v>
      </c>
      <c r="E10" s="64">
        <f>'Nj-AD+LD'!J10</f>
        <v>42</v>
      </c>
      <c r="F10" s="62">
        <f>'Nj-AD+LD'!P10</f>
        <v>79</v>
      </c>
      <c r="G10" s="64">
        <f>'Nj-AD+LD'!Q10</f>
        <v>354</v>
      </c>
      <c r="H10" s="62">
        <f>'Nj-AD+LD'!X10</f>
        <v>15</v>
      </c>
      <c r="I10" s="64">
        <f>'Nj-AD+LD'!Y10</f>
        <v>48</v>
      </c>
      <c r="J10" s="62">
        <f>'Nj-AD+LD'!AE10</f>
        <v>146</v>
      </c>
      <c r="K10" s="65">
        <f>'Nj-AD+LD'!AF10</f>
        <v>576</v>
      </c>
    </row>
    <row r="11" spans="1:11" ht="12.75">
      <c r="A11" s="17">
        <v>1972</v>
      </c>
      <c r="B11" s="62">
        <f>'Nj-AD+LD'!B11</f>
        <v>47</v>
      </c>
      <c r="C11" s="63">
        <f>'Nj-AD+LD'!C11</f>
        <v>179</v>
      </c>
      <c r="D11" s="62">
        <f>'Nj-AD+LD'!I11</f>
        <v>17</v>
      </c>
      <c r="E11" s="64">
        <f>'Nj-AD+LD'!J11</f>
        <v>59</v>
      </c>
      <c r="F11" s="62">
        <f>'Nj-AD+LD'!P11</f>
        <v>97</v>
      </c>
      <c r="G11" s="64">
        <f>'Nj-AD+LD'!Q11</f>
        <v>451</v>
      </c>
      <c r="H11" s="62">
        <f>'Nj-AD+LD'!X11</f>
        <v>22</v>
      </c>
      <c r="I11" s="64">
        <f>'Nj-AD+LD'!Y11</f>
        <v>70</v>
      </c>
      <c r="J11" s="62">
        <f>'Nj-AD+LD'!AE11</f>
        <v>183</v>
      </c>
      <c r="K11" s="65">
        <f>'Nj-AD+LD'!AF11</f>
        <v>759</v>
      </c>
    </row>
    <row r="12" spans="1:11" ht="12.75">
      <c r="A12" s="17">
        <v>1973</v>
      </c>
      <c r="B12" s="62">
        <f>'Nj-AD+LD'!B12</f>
        <v>43</v>
      </c>
      <c r="C12" s="63">
        <f>'Nj-AD+LD'!C12</f>
        <v>222</v>
      </c>
      <c r="D12" s="62">
        <f>'Nj-AD+LD'!I12</f>
        <v>20</v>
      </c>
      <c r="E12" s="64">
        <f>'Nj-AD+LD'!J12</f>
        <v>79</v>
      </c>
      <c r="F12" s="62">
        <f>'Nj-AD+LD'!P12</f>
        <v>105</v>
      </c>
      <c r="G12" s="64">
        <f>'Nj-AD+LD'!Q12</f>
        <v>556</v>
      </c>
      <c r="H12" s="62">
        <f>'Nj-AD+LD'!X12</f>
        <v>24</v>
      </c>
      <c r="I12" s="64">
        <f>'Nj-AD+LD'!Y12</f>
        <v>94</v>
      </c>
      <c r="J12" s="62">
        <f>'Nj-AD+LD'!AE12</f>
        <v>192</v>
      </c>
      <c r="K12" s="65">
        <f>'Nj-AD+LD'!AF12</f>
        <v>951</v>
      </c>
    </row>
    <row r="13" spans="1:11" ht="12.75">
      <c r="A13" s="17">
        <v>1974</v>
      </c>
      <c r="B13" s="62">
        <f>'Nj-AD+LD'!B13</f>
        <v>53</v>
      </c>
      <c r="C13" s="63">
        <f>'Nj-AD+LD'!C13</f>
        <v>275</v>
      </c>
      <c r="D13" s="62">
        <f>'Nj-AD+LD'!I13</f>
        <v>30</v>
      </c>
      <c r="E13" s="64">
        <f>'Nj-AD+LD'!J13</f>
        <v>109</v>
      </c>
      <c r="F13" s="62">
        <f>'Nj-AD+LD'!P13</f>
        <v>102</v>
      </c>
      <c r="G13" s="64">
        <f>'Nj-AD+LD'!Q13</f>
        <v>658</v>
      </c>
      <c r="H13" s="62">
        <f>'Nj-AD+LD'!X13</f>
        <v>22</v>
      </c>
      <c r="I13" s="64">
        <f>'Nj-AD+LD'!Y13</f>
        <v>116</v>
      </c>
      <c r="J13" s="62">
        <f>'Nj-AD+LD'!AE13</f>
        <v>207</v>
      </c>
      <c r="K13" s="65">
        <f>'Nj-AD+LD'!AF13</f>
        <v>1158</v>
      </c>
    </row>
    <row r="14" spans="1:11" ht="12.75">
      <c r="A14" s="17">
        <v>1975</v>
      </c>
      <c r="B14" s="62">
        <f>'Nj-AD+LD'!B14</f>
        <v>62</v>
      </c>
      <c r="C14" s="63">
        <f>'Nj-AD+LD'!C14</f>
        <v>337</v>
      </c>
      <c r="D14" s="62">
        <f>'Nj-AD+LD'!I14</f>
        <v>31</v>
      </c>
      <c r="E14" s="64">
        <f>'Nj-AD+LD'!J14</f>
        <v>140</v>
      </c>
      <c r="F14" s="62">
        <f>'Nj-AD+LD'!P14</f>
        <v>81</v>
      </c>
      <c r="G14" s="64">
        <f>'Nj-AD+LD'!Q14</f>
        <v>739</v>
      </c>
      <c r="H14" s="62">
        <f>'Nj-AD+LD'!X14</f>
        <v>18</v>
      </c>
      <c r="I14" s="64">
        <f>'Nj-AD+LD'!Y14</f>
        <v>134</v>
      </c>
      <c r="J14" s="62">
        <f>'Nj-AD+LD'!AE14</f>
        <v>192</v>
      </c>
      <c r="K14" s="65">
        <f>'Nj-AD+LD'!AF14</f>
        <v>1350</v>
      </c>
    </row>
    <row r="15" spans="1:11" ht="12.75">
      <c r="A15" s="17">
        <v>1976</v>
      </c>
      <c r="B15" s="62">
        <f>'Nj-AD+LD'!B15</f>
        <v>56</v>
      </c>
      <c r="C15" s="63">
        <f>'Nj-AD+LD'!C15</f>
        <v>393</v>
      </c>
      <c r="D15" s="62">
        <f>'Nj-AD+LD'!I15</f>
        <v>33</v>
      </c>
      <c r="E15" s="64">
        <f>'Nj-AD+LD'!J15</f>
        <v>173</v>
      </c>
      <c r="F15" s="62">
        <f>'Nj-AD+LD'!P15</f>
        <v>54</v>
      </c>
      <c r="G15" s="64">
        <f>'Nj-AD+LD'!Q15</f>
        <v>793</v>
      </c>
      <c r="H15" s="62">
        <f>'Nj-AD+LD'!X15</f>
        <v>32</v>
      </c>
      <c r="I15" s="64">
        <f>'Nj-AD+LD'!Y15</f>
        <v>166</v>
      </c>
      <c r="J15" s="62">
        <f>'Nj-AD+LD'!AE15</f>
        <v>175</v>
      </c>
      <c r="K15" s="65">
        <f>'Nj-AD+LD'!AF15</f>
        <v>1525</v>
      </c>
    </row>
    <row r="16" spans="1:11" ht="12.75">
      <c r="A16" s="17">
        <v>1977</v>
      </c>
      <c r="B16" s="62">
        <f>'Nj-AD+LD'!B16</f>
        <v>55</v>
      </c>
      <c r="C16" s="63">
        <f>'Nj-AD+LD'!C16</f>
        <v>448</v>
      </c>
      <c r="D16" s="62">
        <f>'Nj-AD+LD'!I16</f>
        <v>26</v>
      </c>
      <c r="E16" s="64">
        <f>'Nj-AD+LD'!J16</f>
        <v>199</v>
      </c>
      <c r="F16" s="62">
        <f>'Nj-AD+LD'!P16</f>
        <v>87</v>
      </c>
      <c r="G16" s="64">
        <f>'Nj-AD+LD'!Q16</f>
        <v>880</v>
      </c>
      <c r="H16" s="62">
        <f>'Nj-AD+LD'!X16</f>
        <v>46</v>
      </c>
      <c r="I16" s="64">
        <f>'Nj-AD+LD'!Y16</f>
        <v>212</v>
      </c>
      <c r="J16" s="62">
        <f>'Nj-AD+LD'!AE16</f>
        <v>214</v>
      </c>
      <c r="K16" s="65">
        <f>'Nj-AD+LD'!AF16</f>
        <v>1739</v>
      </c>
    </row>
    <row r="17" spans="1:11" ht="12.75">
      <c r="A17" s="17">
        <v>1978</v>
      </c>
      <c r="B17" s="62">
        <f>'Nj-AD+LD'!B17</f>
        <v>45</v>
      </c>
      <c r="C17" s="63">
        <f>'Nj-AD+LD'!C17</f>
        <v>493</v>
      </c>
      <c r="D17" s="62">
        <f>'Nj-AD+LD'!I17</f>
        <v>31</v>
      </c>
      <c r="E17" s="64">
        <f>'Nj-AD+LD'!J17</f>
        <v>230</v>
      </c>
      <c r="F17" s="62">
        <f>'Nj-AD+LD'!P17</f>
        <v>98</v>
      </c>
      <c r="G17" s="64">
        <f>'Nj-AD+LD'!Q17</f>
        <v>978</v>
      </c>
      <c r="H17" s="62">
        <f>'Nj-AD+LD'!X17</f>
        <v>56</v>
      </c>
      <c r="I17" s="64">
        <f>'Nj-AD+LD'!Y17</f>
        <v>268</v>
      </c>
      <c r="J17" s="62">
        <f>'Nj-AD+LD'!AE17</f>
        <v>230</v>
      </c>
      <c r="K17" s="65">
        <f>'Nj-AD+LD'!AF17</f>
        <v>1969</v>
      </c>
    </row>
    <row r="18" spans="1:11" ht="12.75">
      <c r="A18" s="17">
        <v>1979</v>
      </c>
      <c r="B18" s="62">
        <f>'Nj-AD+LD'!B18</f>
        <v>58</v>
      </c>
      <c r="C18" s="63">
        <f>'Nj-AD+LD'!C18</f>
        <v>551</v>
      </c>
      <c r="D18" s="62">
        <f>'Nj-AD+LD'!I18</f>
        <v>30</v>
      </c>
      <c r="E18" s="64">
        <f>'Nj-AD+LD'!J18</f>
        <v>260</v>
      </c>
      <c r="F18" s="62">
        <f>'Nj-AD+LD'!P18</f>
        <v>94</v>
      </c>
      <c r="G18" s="64">
        <f>'Nj-AD+LD'!Q18</f>
        <v>1072</v>
      </c>
      <c r="H18" s="62">
        <f>'Nj-AD+LD'!X18</f>
        <v>48</v>
      </c>
      <c r="I18" s="64">
        <f>'Nj-AD+LD'!Y18</f>
        <v>316</v>
      </c>
      <c r="J18" s="62">
        <f>'Nj-AD+LD'!AE18</f>
        <v>230</v>
      </c>
      <c r="K18" s="65">
        <f>'Nj-AD+LD'!AF18</f>
        <v>2199</v>
      </c>
    </row>
    <row r="19" spans="1:11" ht="12.75">
      <c r="A19" s="17">
        <v>1980</v>
      </c>
      <c r="B19" s="62">
        <f>'Nj-AD+LD'!B19</f>
        <v>63</v>
      </c>
      <c r="C19" s="63">
        <f>'Nj-AD+LD'!C19</f>
        <v>614</v>
      </c>
      <c r="D19" s="62">
        <f>'Nj-AD+LD'!I19</f>
        <v>32</v>
      </c>
      <c r="E19" s="64">
        <f>'Nj-AD+LD'!J19</f>
        <v>292</v>
      </c>
      <c r="F19" s="62">
        <f>'Nj-AD+LD'!P19</f>
        <v>94</v>
      </c>
      <c r="G19" s="64">
        <f>'Nj-AD+LD'!Q19</f>
        <v>1166</v>
      </c>
      <c r="H19" s="62">
        <f>'Nj-AD+LD'!X19</f>
        <v>52</v>
      </c>
      <c r="I19" s="64">
        <f>'Nj-AD+LD'!Y19</f>
        <v>368</v>
      </c>
      <c r="J19" s="62">
        <f>'Nj-AD+LD'!AE19</f>
        <v>241</v>
      </c>
      <c r="K19" s="65">
        <f>'Nj-AD+LD'!AF19</f>
        <v>2440</v>
      </c>
    </row>
    <row r="20" spans="1:11" ht="12.75">
      <c r="A20" s="17">
        <v>1981</v>
      </c>
      <c r="B20" s="62">
        <f>'Nj-AD+LD'!B20</f>
        <v>55</v>
      </c>
      <c r="C20" s="63">
        <f>'Nj-AD+LD'!C20</f>
        <v>669</v>
      </c>
      <c r="D20" s="62">
        <f>'Nj-AD+LD'!I20</f>
        <v>41</v>
      </c>
      <c r="E20" s="64">
        <f>'Nj-AD+LD'!J20</f>
        <v>333</v>
      </c>
      <c r="F20" s="62">
        <f>'Nj-AD+LD'!P20</f>
        <v>103</v>
      </c>
      <c r="G20" s="64">
        <f>'Nj-AD+LD'!Q20</f>
        <v>1269</v>
      </c>
      <c r="H20" s="62">
        <f>'Nj-AD+LD'!X20</f>
        <v>46</v>
      </c>
      <c r="I20" s="64">
        <f>'Nj-AD+LD'!Y20</f>
        <v>414</v>
      </c>
      <c r="J20" s="62">
        <f>'Nj-AD+LD'!AE20</f>
        <v>245</v>
      </c>
      <c r="K20" s="65">
        <f>'Nj-AD+LD'!AF20</f>
        <v>2685</v>
      </c>
    </row>
    <row r="21" spans="1:11" ht="12.75">
      <c r="A21" s="17">
        <v>1982</v>
      </c>
      <c r="B21" s="62">
        <f>'Nj-AD+LD'!B21</f>
        <v>54</v>
      </c>
      <c r="C21" s="63">
        <f>'Nj-AD+LD'!C21</f>
        <v>723</v>
      </c>
      <c r="D21" s="62">
        <f>'Nj-AD+LD'!I21</f>
        <v>42</v>
      </c>
      <c r="E21" s="64">
        <f>'Nj-AD+LD'!J21</f>
        <v>375</v>
      </c>
      <c r="F21" s="62">
        <f>'Nj-AD+LD'!P21</f>
        <v>96</v>
      </c>
      <c r="G21" s="64">
        <f>'Nj-AD+LD'!Q21</f>
        <v>1365</v>
      </c>
      <c r="H21" s="62">
        <f>'Nj-AD+LD'!X21</f>
        <v>41</v>
      </c>
      <c r="I21" s="64">
        <f>'Nj-AD+LD'!Y21</f>
        <v>455</v>
      </c>
      <c r="J21" s="62">
        <f>'Nj-AD+LD'!AE21</f>
        <v>233</v>
      </c>
      <c r="K21" s="65">
        <f>'Nj-AD+LD'!AF21</f>
        <v>2918</v>
      </c>
    </row>
    <row r="22" spans="1:11" ht="12.75">
      <c r="A22" s="17">
        <v>1983</v>
      </c>
      <c r="B22" s="62">
        <f>'Nj-AD+LD'!B22</f>
        <v>72</v>
      </c>
      <c r="C22" s="63">
        <f>'Nj-AD+LD'!C22</f>
        <v>795</v>
      </c>
      <c r="D22" s="62">
        <f>'Nj-AD+LD'!I22</f>
        <v>43</v>
      </c>
      <c r="E22" s="64">
        <f>'Nj-AD+LD'!J22</f>
        <v>418</v>
      </c>
      <c r="F22" s="62">
        <f>'Nj-AD+LD'!P22</f>
        <v>117</v>
      </c>
      <c r="G22" s="64">
        <f>'Nj-AD+LD'!Q22</f>
        <v>1482</v>
      </c>
      <c r="H22" s="62">
        <f>'Nj-AD+LD'!X22</f>
        <v>45</v>
      </c>
      <c r="I22" s="64">
        <f>'Nj-AD+LD'!Y22</f>
        <v>500</v>
      </c>
      <c r="J22" s="62">
        <f>'Nj-AD+LD'!AE22</f>
        <v>277</v>
      </c>
      <c r="K22" s="65">
        <f>'Nj-AD+LD'!AF22</f>
        <v>3195</v>
      </c>
    </row>
    <row r="23" spans="1:11" ht="12.75">
      <c r="A23" s="17">
        <v>1984</v>
      </c>
      <c r="B23" s="62">
        <f>'Nj-AD+LD'!B23</f>
        <v>88</v>
      </c>
      <c r="C23" s="63">
        <f>'Nj-AD+LD'!C23</f>
        <v>883</v>
      </c>
      <c r="D23" s="62">
        <f>'Nj-AD+LD'!I23</f>
        <v>61</v>
      </c>
      <c r="E23" s="64">
        <f>'Nj-AD+LD'!J23</f>
        <v>479</v>
      </c>
      <c r="F23" s="62">
        <f>'Nj-AD+LD'!P23</f>
        <v>121</v>
      </c>
      <c r="G23" s="64">
        <f>'Nj-AD+LD'!Q23</f>
        <v>1603</v>
      </c>
      <c r="H23" s="62">
        <f>'Nj-AD+LD'!X23</f>
        <v>71</v>
      </c>
      <c r="I23" s="64">
        <f>'Nj-AD+LD'!Y23</f>
        <v>571</v>
      </c>
      <c r="J23" s="62">
        <f>'Nj-AD+LD'!AE23</f>
        <v>341</v>
      </c>
      <c r="K23" s="65">
        <f>'Nj-AD+LD'!AF23</f>
        <v>3536</v>
      </c>
    </row>
    <row r="24" spans="1:11" ht="12.75">
      <c r="A24" s="17">
        <v>1985</v>
      </c>
      <c r="B24" s="62">
        <f>'Nj-AD+LD'!B24</f>
        <v>93</v>
      </c>
      <c r="C24" s="63">
        <f>'Nj-AD+LD'!C24</f>
        <v>976</v>
      </c>
      <c r="D24" s="62">
        <f>'Nj-AD+LD'!I24</f>
        <v>58</v>
      </c>
      <c r="E24" s="64">
        <f>'Nj-AD+LD'!J24</f>
        <v>537</v>
      </c>
      <c r="F24" s="62">
        <f>'Nj-AD+LD'!P24</f>
        <v>130</v>
      </c>
      <c r="G24" s="64">
        <f>'Nj-AD+LD'!Q24</f>
        <v>1733</v>
      </c>
      <c r="H24" s="62">
        <f>'Nj-AD+LD'!X24</f>
        <v>48</v>
      </c>
      <c r="I24" s="64">
        <f>'Nj-AD+LD'!Y24</f>
        <v>619</v>
      </c>
      <c r="J24" s="62">
        <f>'Nj-AD+LD'!AE24</f>
        <v>329</v>
      </c>
      <c r="K24" s="65">
        <f>'Nj-AD+LD'!AF24</f>
        <v>3865</v>
      </c>
    </row>
    <row r="25" spans="1:11" ht="12.75">
      <c r="A25" s="17">
        <v>1986</v>
      </c>
      <c r="B25" s="62">
        <f>'Nj-AD+LD'!B25</f>
        <v>82</v>
      </c>
      <c r="C25" s="63">
        <f>'Nj-AD+LD'!C25</f>
        <v>1058</v>
      </c>
      <c r="D25" s="62">
        <f>'Nj-AD+LD'!I25</f>
        <v>63</v>
      </c>
      <c r="E25" s="64">
        <f>'Nj-AD+LD'!J25</f>
        <v>600</v>
      </c>
      <c r="F25" s="62">
        <f>'Nj-AD+LD'!P25</f>
        <v>148</v>
      </c>
      <c r="G25" s="64">
        <f>'Nj-AD+LD'!Q25</f>
        <v>1881</v>
      </c>
      <c r="H25" s="62">
        <f>'Nj-AD+LD'!X25</f>
        <v>56</v>
      </c>
      <c r="I25" s="64">
        <f>'Nj-AD+LD'!Y25</f>
        <v>675</v>
      </c>
      <c r="J25" s="62">
        <f>'Nj-AD+LD'!AE25</f>
        <v>349</v>
      </c>
      <c r="K25" s="65">
        <f>'Nj-AD+LD'!AF25</f>
        <v>4214</v>
      </c>
    </row>
    <row r="26" spans="1:11" ht="12.75">
      <c r="A26" s="17">
        <v>1987</v>
      </c>
      <c r="B26" s="62">
        <f>'Nj-AD+LD'!B26</f>
        <v>89</v>
      </c>
      <c r="C26" s="63">
        <f>'Nj-AD+LD'!C26</f>
        <v>1147</v>
      </c>
      <c r="D26" s="62">
        <f>'Nj-AD+LD'!I26</f>
        <v>85</v>
      </c>
      <c r="E26" s="64">
        <f>'Nj-AD+LD'!J26</f>
        <v>685</v>
      </c>
      <c r="F26" s="62">
        <f>'Nj-AD+LD'!P26</f>
        <v>146</v>
      </c>
      <c r="G26" s="64">
        <f>'Nj-AD+LD'!Q26</f>
        <v>2027</v>
      </c>
      <c r="H26" s="62">
        <f>'Nj-AD+LD'!X26</f>
        <v>62</v>
      </c>
      <c r="I26" s="64">
        <f>'Nj-AD+LD'!Y26</f>
        <v>737</v>
      </c>
      <c r="J26" s="62">
        <f>'Nj-AD+LD'!AE26</f>
        <v>382</v>
      </c>
      <c r="K26" s="65">
        <f>'Nj-AD+LD'!AF26</f>
        <v>4596</v>
      </c>
    </row>
    <row r="27" spans="1:11" ht="12.75">
      <c r="A27" s="17">
        <v>1988</v>
      </c>
      <c r="B27" s="62">
        <f>'Nj-AD+LD'!B27</f>
        <v>87</v>
      </c>
      <c r="C27" s="63">
        <f>'Nj-AD+LD'!C27</f>
        <v>1234</v>
      </c>
      <c r="D27" s="62">
        <f>'Nj-AD+LD'!I27</f>
        <v>79</v>
      </c>
      <c r="E27" s="64">
        <f>'Nj-AD+LD'!J27</f>
        <v>764</v>
      </c>
      <c r="F27" s="62">
        <f>'Nj-AD+LD'!P27</f>
        <v>132</v>
      </c>
      <c r="G27" s="64">
        <f>'Nj-AD+LD'!Q27</f>
        <v>2159</v>
      </c>
      <c r="H27" s="62">
        <f>'Nj-AD+LD'!X27</f>
        <v>57</v>
      </c>
      <c r="I27" s="64">
        <f>'Nj-AD+LD'!Y27</f>
        <v>794</v>
      </c>
      <c r="J27" s="62">
        <f>'Nj-AD+LD'!AE27</f>
        <v>355</v>
      </c>
      <c r="K27" s="65">
        <f>'Nj-AD+LD'!AF27</f>
        <v>4951</v>
      </c>
    </row>
    <row r="28" spans="1:11" ht="12.75">
      <c r="A28" s="17">
        <v>1989</v>
      </c>
      <c r="B28" s="62">
        <f>'Nj-AD+LD'!B28</f>
        <v>79</v>
      </c>
      <c r="C28" s="63">
        <f>'Nj-AD+LD'!C28</f>
        <v>1313</v>
      </c>
      <c r="D28" s="62">
        <f>'Nj-AD+LD'!I28</f>
        <v>81</v>
      </c>
      <c r="E28" s="64">
        <f>'Nj-AD+LD'!J28</f>
        <v>845</v>
      </c>
      <c r="F28" s="62">
        <f>'Nj-AD+LD'!P28</f>
        <v>145</v>
      </c>
      <c r="G28" s="64">
        <f>'Nj-AD+LD'!Q28</f>
        <v>2304</v>
      </c>
      <c r="H28" s="62">
        <f>'Nj-AD+LD'!X28</f>
        <v>66</v>
      </c>
      <c r="I28" s="64">
        <f>'Nj-AD+LD'!Y28</f>
        <v>860</v>
      </c>
      <c r="J28" s="62">
        <f>'Nj-AD+LD'!AE28</f>
        <v>371</v>
      </c>
      <c r="K28" s="65">
        <f>'Nj-AD+LD'!AF28</f>
        <v>5322</v>
      </c>
    </row>
    <row r="29" spans="1:11" ht="12.75">
      <c r="A29" s="17">
        <v>1990</v>
      </c>
      <c r="B29" s="62">
        <f>'Nj-AD+LD'!B29</f>
        <v>89</v>
      </c>
      <c r="C29" s="63">
        <f>'Nj-AD+LD'!C29</f>
        <v>1402</v>
      </c>
      <c r="D29" s="62">
        <f>'Nj-AD+LD'!I29</f>
        <v>66</v>
      </c>
      <c r="E29" s="64">
        <f>'Nj-AD+LD'!J29</f>
        <v>911</v>
      </c>
      <c r="F29" s="62">
        <f>'Nj-AD+LD'!P29</f>
        <v>119</v>
      </c>
      <c r="G29" s="64">
        <f>'Nj-AD+LD'!Q29</f>
        <v>2423</v>
      </c>
      <c r="H29" s="62">
        <f>'Nj-AD+LD'!X29</f>
        <v>57</v>
      </c>
      <c r="I29" s="64">
        <f>'Nj-AD+LD'!Y29</f>
        <v>917</v>
      </c>
      <c r="J29" s="62">
        <f>'Nj-AD+LD'!AE29</f>
        <v>331</v>
      </c>
      <c r="K29" s="65">
        <f>'Nj-AD+LD'!AF29</f>
        <v>5653</v>
      </c>
    </row>
    <row r="30" spans="1:11" ht="12.75">
      <c r="A30" s="17">
        <v>1991</v>
      </c>
      <c r="B30" s="62">
        <f>'Nj-AD+LD'!B30</f>
        <v>80</v>
      </c>
      <c r="C30" s="63">
        <f>'Nj-AD+LD'!C30</f>
        <v>1482</v>
      </c>
      <c r="D30" s="62">
        <f>'Nj-AD+LD'!I30</f>
        <v>72</v>
      </c>
      <c r="E30" s="64">
        <f>'Nj-AD+LD'!J30</f>
        <v>983</v>
      </c>
      <c r="F30" s="62">
        <f>'Nj-AD+LD'!P30</f>
        <v>147</v>
      </c>
      <c r="G30" s="64">
        <f>'Nj-AD+LD'!Q30</f>
        <v>2570</v>
      </c>
      <c r="H30" s="62">
        <f>'Nj-AD+LD'!X30</f>
        <v>59</v>
      </c>
      <c r="I30" s="64">
        <f>'Nj-AD+LD'!Y30</f>
        <v>976</v>
      </c>
      <c r="J30" s="62">
        <f>'Nj-AD+LD'!AE30</f>
        <v>358</v>
      </c>
      <c r="K30" s="65">
        <f>'Nj-AD+LD'!AF30</f>
        <v>6011</v>
      </c>
    </row>
    <row r="31" spans="1:11" ht="12.75">
      <c r="A31" s="17">
        <v>1992</v>
      </c>
      <c r="B31" s="62">
        <f>'Nj-AD+LD'!B31</f>
        <v>76</v>
      </c>
      <c r="C31" s="63">
        <f>'Nj-AD+LD'!C31</f>
        <v>1558</v>
      </c>
      <c r="D31" s="62">
        <f>'Nj-AD+LD'!I31</f>
        <v>64</v>
      </c>
      <c r="E31" s="64">
        <f>'Nj-AD+LD'!J31</f>
        <v>1047</v>
      </c>
      <c r="F31" s="62">
        <f>'Nj-AD+LD'!P31</f>
        <v>125</v>
      </c>
      <c r="G31" s="64">
        <f>'Nj-AD+LD'!Q31</f>
        <v>2695</v>
      </c>
      <c r="H31" s="62">
        <f>'Nj-AD+LD'!X31</f>
        <v>52</v>
      </c>
      <c r="I31" s="64">
        <f>'Nj-AD+LD'!Y31</f>
        <v>1028</v>
      </c>
      <c r="J31" s="62">
        <f>'Nj-AD+LD'!AE31</f>
        <v>317</v>
      </c>
      <c r="K31" s="65">
        <f>'Nj-AD+LD'!AF31</f>
        <v>6328</v>
      </c>
    </row>
    <row r="32" spans="1:11" ht="12.75">
      <c r="A32" s="17">
        <v>1993</v>
      </c>
      <c r="B32" s="62">
        <f>'Nj-AD+LD'!B32</f>
        <v>86</v>
      </c>
      <c r="C32" s="63">
        <f>'Nj-AD+LD'!C32</f>
        <v>1644</v>
      </c>
      <c r="D32" s="62">
        <f>'Nj-AD+LD'!I32</f>
        <v>75</v>
      </c>
      <c r="E32" s="64">
        <f>'Nj-AD+LD'!J32</f>
        <v>1122</v>
      </c>
      <c r="F32" s="62">
        <f>'Nj-AD+LD'!P32</f>
        <v>125</v>
      </c>
      <c r="G32" s="64">
        <f>'Nj-AD+LD'!Q32</f>
        <v>2820</v>
      </c>
      <c r="H32" s="62">
        <f>'Nj-AD+LD'!X32</f>
        <v>67</v>
      </c>
      <c r="I32" s="64">
        <f>'Nj-AD+LD'!Y32</f>
        <v>1095</v>
      </c>
      <c r="J32" s="62">
        <f>'Nj-AD+LD'!AE32</f>
        <v>353</v>
      </c>
      <c r="K32" s="65">
        <f>'Nj-AD+LD'!AF32</f>
        <v>6681</v>
      </c>
    </row>
    <row r="33" spans="1:11" ht="12.75">
      <c r="A33" s="17">
        <v>1994</v>
      </c>
      <c r="B33" s="62">
        <f>'Nj-AD+LD'!B33</f>
        <v>76</v>
      </c>
      <c r="C33" s="63">
        <f>'Nj-AD+LD'!C33</f>
        <v>1720</v>
      </c>
      <c r="D33" s="62">
        <f>'Nj-AD+LD'!I33</f>
        <v>59</v>
      </c>
      <c r="E33" s="64">
        <f>'Nj-AD+LD'!J33</f>
        <v>1181</v>
      </c>
      <c r="F33" s="62">
        <f>'Nj-AD+LD'!P33</f>
        <v>131</v>
      </c>
      <c r="G33" s="64">
        <f>'Nj-AD+LD'!Q33</f>
        <v>2951</v>
      </c>
      <c r="H33" s="62">
        <f>'Nj-AD+LD'!X33</f>
        <v>56</v>
      </c>
      <c r="I33" s="64">
        <f>'Nj-AD+LD'!Y33</f>
        <v>1151</v>
      </c>
      <c r="J33" s="62">
        <f>'Nj-AD+LD'!AE33</f>
        <v>322</v>
      </c>
      <c r="K33" s="65">
        <f>'Nj-AD+LD'!AF33</f>
        <v>7003</v>
      </c>
    </row>
    <row r="34" spans="1:11" ht="12.75">
      <c r="A34" s="17">
        <v>1995</v>
      </c>
      <c r="B34" s="62">
        <f>'Nj-AD+LD'!B34</f>
        <v>62</v>
      </c>
      <c r="C34" s="63">
        <f>'Nj-AD+LD'!C34</f>
        <v>1782</v>
      </c>
      <c r="D34" s="62">
        <f>'Nj-AD+LD'!I34</f>
        <v>58</v>
      </c>
      <c r="E34" s="64">
        <f>'Nj-AD+LD'!J34</f>
        <v>1239</v>
      </c>
      <c r="F34" s="62">
        <f>'Nj-AD+LD'!P34</f>
        <v>101</v>
      </c>
      <c r="G34" s="64">
        <f>'Nj-AD+LD'!Q34</f>
        <v>3052</v>
      </c>
      <c r="H34" s="62">
        <f>'Nj-AD+LD'!X34</f>
        <v>62</v>
      </c>
      <c r="I34" s="64">
        <f>'Nj-AD+LD'!Y34</f>
        <v>1213</v>
      </c>
      <c r="J34" s="62">
        <f>'Nj-AD+LD'!AE34</f>
        <v>283</v>
      </c>
      <c r="K34" s="65">
        <f>'Nj-AD+LD'!AF34</f>
        <v>7286</v>
      </c>
    </row>
    <row r="35" spans="1:11" ht="12.75">
      <c r="A35" s="17">
        <v>1996</v>
      </c>
      <c r="B35" s="62">
        <f>'Nj-AD+LD'!B35</f>
        <v>76</v>
      </c>
      <c r="C35" s="63">
        <f>'Nj-AD+LD'!C35</f>
        <v>1858</v>
      </c>
      <c r="D35" s="62">
        <f>'Nj-AD+LD'!I35</f>
        <v>71</v>
      </c>
      <c r="E35" s="64">
        <f>'Nj-AD+LD'!J35</f>
        <v>1310</v>
      </c>
      <c r="F35" s="62">
        <f>'Nj-AD+LD'!P35</f>
        <v>116</v>
      </c>
      <c r="G35" s="64">
        <f>'Nj-AD+LD'!Q35</f>
        <v>3168</v>
      </c>
      <c r="H35" s="62">
        <f>'Nj-AD+LD'!X35</f>
        <v>45</v>
      </c>
      <c r="I35" s="64">
        <f>'Nj-AD+LD'!Y35</f>
        <v>1258</v>
      </c>
      <c r="J35" s="62">
        <f>'Nj-AD+LD'!AE35</f>
        <v>308</v>
      </c>
      <c r="K35" s="65">
        <f>'Nj-AD+LD'!AF35</f>
        <v>7594</v>
      </c>
    </row>
    <row r="36" spans="1:11" ht="12.75">
      <c r="A36" s="17">
        <v>1997</v>
      </c>
      <c r="B36" s="62">
        <f>'Nj-AD+LD'!B36</f>
        <v>89</v>
      </c>
      <c r="C36" s="63">
        <f>'Nj-AD+LD'!C36</f>
        <v>1947</v>
      </c>
      <c r="D36" s="62">
        <f>'Nj-AD+LD'!I36</f>
        <v>62</v>
      </c>
      <c r="E36" s="64">
        <f>'Nj-AD+LD'!J36</f>
        <v>1372</v>
      </c>
      <c r="F36" s="62">
        <f>'Nj-AD+LD'!P36</f>
        <v>128</v>
      </c>
      <c r="G36" s="64">
        <f>'Nj-AD+LD'!Q36</f>
        <v>3296</v>
      </c>
      <c r="H36" s="62">
        <f>'Nj-AD+LD'!X36</f>
        <v>57</v>
      </c>
      <c r="I36" s="64">
        <f>'Nj-AD+LD'!Y36</f>
        <v>1315</v>
      </c>
      <c r="J36" s="62">
        <f>'Nj-AD+LD'!AE36</f>
        <v>336</v>
      </c>
      <c r="K36" s="65">
        <f>'Nj-AD+LD'!AF36</f>
        <v>7930</v>
      </c>
    </row>
    <row r="37" spans="1:11" ht="12.75">
      <c r="A37" s="17">
        <v>1998</v>
      </c>
      <c r="B37" s="62">
        <f>'Nj-AD+LD'!B37</f>
        <v>82</v>
      </c>
      <c r="C37" s="63">
        <f>'Nj-AD+LD'!C37</f>
        <v>2029</v>
      </c>
      <c r="D37" s="62">
        <f>'Nj-AD+LD'!I37</f>
        <v>76</v>
      </c>
      <c r="E37" s="64">
        <f>'Nj-AD+LD'!J37</f>
        <v>1448</v>
      </c>
      <c r="F37" s="62">
        <f>'Nj-AD+LD'!P37</f>
        <v>146</v>
      </c>
      <c r="G37" s="64">
        <f>'Nj-AD+LD'!Q37</f>
        <v>3442</v>
      </c>
      <c r="H37" s="62">
        <f>'Nj-AD+LD'!X37</f>
        <v>53</v>
      </c>
      <c r="I37" s="64">
        <f>'Nj-AD+LD'!Y37</f>
        <v>1368</v>
      </c>
      <c r="J37" s="62">
        <f>'Nj-AD+LD'!AE37</f>
        <v>357</v>
      </c>
      <c r="K37" s="65">
        <f>'Nj-AD+LD'!AF37</f>
        <v>8287</v>
      </c>
    </row>
    <row r="38" spans="1:11" ht="12.75">
      <c r="A38" s="18">
        <v>1999</v>
      </c>
      <c r="B38" s="66">
        <f>'Nj-AD+LD'!B38</f>
        <v>59</v>
      </c>
      <c r="C38" s="67">
        <f>'Nj-AD+LD'!C38</f>
        <v>2088</v>
      </c>
      <c r="D38" s="66">
        <f>'Nj-AD+LD'!I38</f>
        <v>51</v>
      </c>
      <c r="E38" s="68">
        <f>'Nj-AD+LD'!J38</f>
        <v>1499</v>
      </c>
      <c r="F38" s="66">
        <f>'Nj-AD+LD'!P38</f>
        <v>128</v>
      </c>
      <c r="G38" s="68">
        <f>'Nj-AD+LD'!Q38</f>
        <v>3570</v>
      </c>
      <c r="H38" s="66">
        <f>'Nj-AD+LD'!X38</f>
        <v>63</v>
      </c>
      <c r="I38" s="68">
        <f>'Nj-AD+LD'!Y38</f>
        <v>1431</v>
      </c>
      <c r="J38" s="66">
        <f>'Nj-AD+LD'!AE38</f>
        <v>301</v>
      </c>
      <c r="K38" s="69">
        <f>'Nj-AD+LD'!AF38</f>
        <v>8588</v>
      </c>
    </row>
    <row r="39" spans="1:11" s="7" customFormat="1" ht="17.25" customHeight="1">
      <c r="A39" s="17">
        <v>2000</v>
      </c>
      <c r="B39" s="62">
        <f>'Nj-AD+LD'!B39</f>
        <v>66</v>
      </c>
      <c r="C39" s="63">
        <f>'Nj-AD+LD'!C39</f>
        <v>2154</v>
      </c>
      <c r="D39" s="62">
        <f>'Nj-AD+LD'!I39</f>
        <v>66</v>
      </c>
      <c r="E39" s="64">
        <f>'Nj-AD+LD'!J39</f>
        <v>1565</v>
      </c>
      <c r="F39" s="62">
        <f>'Nj-AD+LD'!P39</f>
        <v>106</v>
      </c>
      <c r="G39" s="64">
        <f>'Nj-AD+LD'!Q39</f>
        <v>3676</v>
      </c>
      <c r="H39" s="62">
        <f>'Nj-AD+LD'!X39</f>
        <v>45</v>
      </c>
      <c r="I39" s="64">
        <f>'Nj-AD+LD'!Y39</f>
        <v>1476</v>
      </c>
      <c r="J39" s="62">
        <f>'Nj-AD+LD'!AE39</f>
        <v>283</v>
      </c>
      <c r="K39" s="65">
        <f>'Nj-AD+LD'!AF39</f>
        <v>8871</v>
      </c>
    </row>
    <row r="40" spans="1:11" ht="12.75">
      <c r="A40" s="17">
        <v>2001</v>
      </c>
      <c r="B40" s="62">
        <f>'Nj-AD+LD'!B40</f>
        <v>71</v>
      </c>
      <c r="C40" s="63">
        <f>'Nj-AD+LD'!C40</f>
        <v>2225</v>
      </c>
      <c r="D40" s="62">
        <f>'Nj-AD+LD'!I40</f>
        <v>71</v>
      </c>
      <c r="E40" s="64">
        <f>'Nj-AD+LD'!J40</f>
        <v>1636</v>
      </c>
      <c r="F40" s="62">
        <f>'Nj-AD+LD'!P40</f>
        <v>108</v>
      </c>
      <c r="G40" s="64">
        <f>'Nj-AD+LD'!Q40</f>
        <v>3784</v>
      </c>
      <c r="H40" s="62">
        <f>'Nj-AD+LD'!X40</f>
        <v>55</v>
      </c>
      <c r="I40" s="64">
        <f>'Nj-AD+LD'!Y40</f>
        <v>1531</v>
      </c>
      <c r="J40" s="62">
        <f>'Nj-AD+LD'!AE40</f>
        <v>305</v>
      </c>
      <c r="K40" s="65">
        <f>'Nj-AD+LD'!AF40</f>
        <v>9176</v>
      </c>
    </row>
    <row r="41" spans="1:11" ht="12.75">
      <c r="A41" s="17">
        <v>2002</v>
      </c>
      <c r="B41" s="62">
        <f>'Nj-AD+LD'!B41</f>
        <v>79</v>
      </c>
      <c r="C41" s="63">
        <f>'Nj-AD+LD'!C41</f>
        <v>2304</v>
      </c>
      <c r="D41" s="62">
        <f>'Nj-AD+LD'!I41</f>
        <v>59</v>
      </c>
      <c r="E41" s="64">
        <f>'Nj-AD+LD'!J41</f>
        <v>1695</v>
      </c>
      <c r="F41" s="62">
        <f>'Nj-AD+LD'!P41</f>
        <v>111</v>
      </c>
      <c r="G41" s="64">
        <f>'Nj-AD+LD'!Q41</f>
        <v>3895</v>
      </c>
      <c r="H41" s="62">
        <f>'Nj-AD+LD'!X41</f>
        <v>59</v>
      </c>
      <c r="I41" s="64">
        <f>'Nj-AD+LD'!Y41</f>
        <v>1590</v>
      </c>
      <c r="J41" s="62">
        <f>'Nj-AD+LD'!AE41</f>
        <v>308</v>
      </c>
      <c r="K41" s="65">
        <f>'Nj-AD+LD'!AF41</f>
        <v>9484</v>
      </c>
    </row>
    <row r="42" spans="1:11" ht="12.75">
      <c r="A42" s="17">
        <v>2003</v>
      </c>
      <c r="B42" s="62">
        <f>'Nj-AD+LD'!B42</f>
        <v>80</v>
      </c>
      <c r="C42" s="63">
        <f>'Nj-AD+LD'!C42</f>
        <v>2384</v>
      </c>
      <c r="D42" s="62">
        <f>'Nj-AD+LD'!I42</f>
        <v>72</v>
      </c>
      <c r="E42" s="64">
        <f>'Nj-AD+LD'!J42</f>
        <v>1767</v>
      </c>
      <c r="F42" s="62">
        <f>'Nj-AD+LD'!P42</f>
        <v>129</v>
      </c>
      <c r="G42" s="64">
        <f>'Nj-AD+LD'!Q42</f>
        <v>4024</v>
      </c>
      <c r="H42" s="62">
        <f>'Nj-AD+LD'!X42</f>
        <v>64</v>
      </c>
      <c r="I42" s="64">
        <f>'Nj-AD+LD'!Y42</f>
        <v>1654</v>
      </c>
      <c r="J42" s="62">
        <f>'Nj-AD+LD'!AE42</f>
        <v>345</v>
      </c>
      <c r="K42" s="65">
        <f>'Nj-AD+LD'!AF42</f>
        <v>9829</v>
      </c>
    </row>
    <row r="43" spans="1:11" ht="12.75">
      <c r="A43" s="17">
        <v>2004</v>
      </c>
      <c r="B43" s="62">
        <f>'Nj-AD+LD'!B43</f>
        <v>82</v>
      </c>
      <c r="C43" s="63">
        <f>'Nj-AD+LD'!C43</f>
        <v>2466</v>
      </c>
      <c r="D43" s="62">
        <f>'Nj-AD+LD'!I43</f>
        <v>92</v>
      </c>
      <c r="E43" s="64">
        <f>'Nj-AD+LD'!J43</f>
        <v>1859</v>
      </c>
      <c r="F43" s="62">
        <f>'Nj-AD+LD'!P43</f>
        <v>148</v>
      </c>
      <c r="G43" s="64">
        <f>'Nj-AD+LD'!Q43</f>
        <v>4172</v>
      </c>
      <c r="H43" s="62">
        <f>'Nj-AD+LD'!X43</f>
        <v>50</v>
      </c>
      <c r="I43" s="64">
        <f>'Nj-AD+LD'!Y43</f>
        <v>1704</v>
      </c>
      <c r="J43" s="62">
        <f>'Nj-AD+LD'!AE43</f>
        <v>372</v>
      </c>
      <c r="K43" s="147">
        <f>'Nj-AD+LD'!AF43</f>
        <v>10201</v>
      </c>
    </row>
    <row r="44" spans="1:11" s="78" customFormat="1" ht="12.75">
      <c r="A44" s="17">
        <v>2005</v>
      </c>
      <c r="B44" s="62">
        <f>'Nj-AD+LD'!B44</f>
        <v>70</v>
      </c>
      <c r="C44" s="63">
        <f>'Nj-AD+LD'!C44</f>
        <v>2536</v>
      </c>
      <c r="D44" s="62">
        <f>'Nj-AD+LD'!I44</f>
        <v>97</v>
      </c>
      <c r="E44" s="64">
        <f>'Nj-AD+LD'!J44</f>
        <v>1956</v>
      </c>
      <c r="F44" s="62">
        <f>'Nj-AD+LD'!P44</f>
        <v>167</v>
      </c>
      <c r="G44" s="64">
        <f>'Nj-AD+LD'!Q44</f>
        <v>4339</v>
      </c>
      <c r="H44" s="62">
        <f>'Nj-AD+LD'!X44</f>
        <v>57</v>
      </c>
      <c r="I44" s="64">
        <f>'Nj-AD+LD'!Y44</f>
        <v>1761</v>
      </c>
      <c r="J44" s="62">
        <f>'Nj-AD+LD'!AE44</f>
        <v>391</v>
      </c>
      <c r="K44" s="147">
        <f>'Nj-AD+LD'!AF44</f>
        <v>10592</v>
      </c>
    </row>
    <row r="45" spans="1:11" s="78" customFormat="1" ht="12.75">
      <c r="A45" s="17">
        <v>2006</v>
      </c>
      <c r="B45" s="62">
        <f>'Nj-AD+LD'!B45</f>
        <v>67</v>
      </c>
      <c r="C45" s="63">
        <f>'Nj-AD+LD'!C45</f>
        <v>2603</v>
      </c>
      <c r="D45" s="62">
        <f>'Nj-AD+LD'!I45</f>
        <v>87</v>
      </c>
      <c r="E45" s="64">
        <f>'Nj-AD+LD'!J45</f>
        <v>2043</v>
      </c>
      <c r="F45" s="62">
        <f>'Nj-AD+LD'!P45</f>
        <v>145</v>
      </c>
      <c r="G45" s="64">
        <f>'Nj-AD+LD'!Q45</f>
        <v>4484</v>
      </c>
      <c r="H45" s="62">
        <f>'Nj-AD+LD'!X45</f>
        <v>66</v>
      </c>
      <c r="I45" s="64">
        <f>'Nj-AD+LD'!Y45</f>
        <v>1827</v>
      </c>
      <c r="J45" s="62">
        <f>'Nj-AD+LD'!AE45</f>
        <v>365</v>
      </c>
      <c r="K45" s="147">
        <f>'Nj-AD+LD'!AF45</f>
        <v>10957</v>
      </c>
    </row>
    <row r="46" spans="1:11" s="78" customFormat="1" ht="12.75">
      <c r="A46" s="17">
        <v>2007</v>
      </c>
      <c r="B46" s="62">
        <f>'Nj-AD+LD'!B46</f>
        <v>80</v>
      </c>
      <c r="C46" s="63">
        <f>'Nj-AD+LD'!C46</f>
        <v>2683</v>
      </c>
      <c r="D46" s="62">
        <f>'Nj-AD+LD'!I46</f>
        <v>65</v>
      </c>
      <c r="E46" s="64">
        <f>'Nj-AD+LD'!J46</f>
        <v>2108</v>
      </c>
      <c r="F46" s="62">
        <f>'Nj-AD+LD'!P46</f>
        <v>158</v>
      </c>
      <c r="G46" s="64">
        <f>'Nj-AD+LD'!Q46</f>
        <v>4642</v>
      </c>
      <c r="H46" s="62">
        <f>'Nj-AD+LD'!X46</f>
        <v>76</v>
      </c>
      <c r="I46" s="64">
        <f>'Nj-AD+LD'!Y46</f>
        <v>1903</v>
      </c>
      <c r="J46" s="62">
        <f>'Nj-AD+LD'!AE46</f>
        <v>379</v>
      </c>
      <c r="K46" s="147">
        <f>'Nj-AD+LD'!AF46</f>
        <v>11336</v>
      </c>
    </row>
    <row r="47" spans="1:11" s="78" customFormat="1" ht="12.75">
      <c r="A47" s="17">
        <v>2008</v>
      </c>
      <c r="B47" s="62">
        <f>'Nj-AD+LD'!B47</f>
        <v>84</v>
      </c>
      <c r="C47" s="63">
        <f>'Nj-AD+LD'!C47</f>
        <v>2767</v>
      </c>
      <c r="D47" s="62">
        <f>'Nj-AD+LD'!I47</f>
        <v>94</v>
      </c>
      <c r="E47" s="64">
        <f>'Nj-AD+LD'!J47</f>
        <v>2202</v>
      </c>
      <c r="F47" s="62">
        <f>'Nj-AD+LD'!P47</f>
        <v>175</v>
      </c>
      <c r="G47" s="64">
        <f>'Nj-AD+LD'!Q47</f>
        <v>4817</v>
      </c>
      <c r="H47" s="151">
        <f>'Nj-AD+LD'!X47</f>
        <v>66</v>
      </c>
      <c r="I47" s="64">
        <f>'Nj-AD+LD'!Y47</f>
        <v>1969</v>
      </c>
      <c r="J47" s="62">
        <f>'Nj-AD+LD'!AE47</f>
        <v>419</v>
      </c>
      <c r="K47" s="147">
        <f>'Nj-AD+LD'!AF47</f>
        <v>11755</v>
      </c>
    </row>
    <row r="48" spans="1:11" s="78" customFormat="1" ht="12.75">
      <c r="A48" s="17">
        <v>2009</v>
      </c>
      <c r="B48" s="62">
        <f>'Nj-AD+LD'!B48</f>
        <v>71</v>
      </c>
      <c r="C48" s="63">
        <f>'Nj-AD+LD'!C48</f>
        <v>2838</v>
      </c>
      <c r="D48" s="62">
        <f>'Nj-AD+LD'!I48</f>
        <v>91</v>
      </c>
      <c r="E48" s="64">
        <f>'Nj-AD+LD'!J48</f>
        <v>2293</v>
      </c>
      <c r="F48" s="151">
        <f>'Nj-AD+LD'!P48</f>
        <v>148</v>
      </c>
      <c r="G48" s="64">
        <f>'Nj-AD+LD'!Q48</f>
        <v>4965</v>
      </c>
      <c r="H48" s="151">
        <f>'Nj-AD+LD'!X48</f>
        <v>82</v>
      </c>
      <c r="I48" s="64">
        <f>'Nj-AD+LD'!Y48</f>
        <v>2051</v>
      </c>
      <c r="J48" s="62">
        <f>'Nj-AD+LD'!AE48</f>
        <v>392</v>
      </c>
      <c r="K48" s="147">
        <f>'Nj-AD+LD'!AF48</f>
        <v>12147</v>
      </c>
    </row>
    <row r="49" spans="1:11" s="78" customFormat="1" ht="12.75">
      <c r="A49" s="17">
        <v>2010</v>
      </c>
      <c r="B49" s="62">
        <f>'Nj-AD+LD'!B49</f>
        <v>72</v>
      </c>
      <c r="C49" s="63">
        <f>'Nj-AD+LD'!C49</f>
        <v>2910</v>
      </c>
      <c r="D49" s="62">
        <f>'Nj-AD+LD'!I49</f>
        <v>86</v>
      </c>
      <c r="E49" s="64">
        <f>'Nj-AD+LD'!J49</f>
        <v>2379</v>
      </c>
      <c r="F49" s="151">
        <f>'Nj-AD+LD'!P49</f>
        <v>140</v>
      </c>
      <c r="G49" s="64">
        <f>'Nj-AD+LD'!Q49</f>
        <v>5105</v>
      </c>
      <c r="H49" s="151">
        <f>'Nj-AD+LD'!X49</f>
        <v>72</v>
      </c>
      <c r="I49" s="64">
        <f>'Nj-AD+LD'!Y49</f>
        <v>2123</v>
      </c>
      <c r="J49" s="62">
        <f>'Nj-AD+LD'!AE49</f>
        <v>370</v>
      </c>
      <c r="K49" s="147">
        <f>'Nj-AD+LD'!AF49</f>
        <v>12517</v>
      </c>
    </row>
    <row r="50" spans="1:11" s="179" customFormat="1" ht="12.75">
      <c r="A50" s="171">
        <v>2011</v>
      </c>
      <c r="B50" s="175">
        <f>'Nj-AD+LD'!B50</f>
        <v>110</v>
      </c>
      <c r="C50" s="141">
        <f>'Nj-AD+LD'!C50</f>
        <v>3020</v>
      </c>
      <c r="D50" s="175">
        <f>'Nj-AD+LD'!I50</f>
        <v>106</v>
      </c>
      <c r="E50" s="140">
        <f>'Nj-AD+LD'!J50</f>
        <v>2485</v>
      </c>
      <c r="F50" s="177">
        <f>'Nj-AD+LD'!P50</f>
        <v>159</v>
      </c>
      <c r="G50" s="140">
        <f>'Nj-AD+LD'!Q50</f>
        <v>5264</v>
      </c>
      <c r="H50" s="177">
        <f>'Nj-AD+LD'!X50</f>
        <v>60</v>
      </c>
      <c r="I50" s="140">
        <f>'Nj-AD+LD'!Y50</f>
        <v>2183</v>
      </c>
      <c r="J50" s="175">
        <f>'Nj-AD+LD'!AE50</f>
        <v>435</v>
      </c>
      <c r="K50" s="147">
        <f>'Nj-AD+LD'!AF50</f>
        <v>12952</v>
      </c>
    </row>
    <row r="51" spans="1:11" s="179" customFormat="1" ht="12.75">
      <c r="A51" s="171">
        <v>2012</v>
      </c>
      <c r="B51" s="175">
        <f>'Nj-AD+LD'!B51</f>
        <v>84</v>
      </c>
      <c r="C51" s="141">
        <f>'Nj-AD+LD'!C51</f>
        <v>3104</v>
      </c>
      <c r="D51" s="175">
        <f>'Nj-AD+LD'!I51</f>
        <v>118</v>
      </c>
      <c r="E51" s="140">
        <f>'Nj-AD+LD'!J51</f>
        <v>2603</v>
      </c>
      <c r="F51" s="177">
        <f>'Nj-AD+LD'!P51</f>
        <v>142</v>
      </c>
      <c r="G51" s="140">
        <f>'Nj-AD+LD'!Q51</f>
        <v>5406</v>
      </c>
      <c r="H51" s="177">
        <f>'Nj-AD+LD'!X51</f>
        <v>54</v>
      </c>
      <c r="I51" s="140">
        <f>'Nj-AD+LD'!Y51</f>
        <v>2237</v>
      </c>
      <c r="J51" s="175">
        <f>'Nj-AD+LD'!AE51</f>
        <v>398</v>
      </c>
      <c r="K51" s="147">
        <f>'Nj-AD+LD'!AF51</f>
        <v>13350</v>
      </c>
    </row>
    <row r="52" spans="1:11" s="179" customFormat="1" ht="12.75">
      <c r="A52" s="171">
        <v>2013</v>
      </c>
      <c r="B52" s="175">
        <f>'Nj-AD+LD'!B52</f>
        <v>79</v>
      </c>
      <c r="C52" s="141">
        <f>'Nj-AD+LD'!C52</f>
        <v>3183</v>
      </c>
      <c r="D52" s="175">
        <f>'Nj-AD+LD'!I52</f>
        <v>119</v>
      </c>
      <c r="E52" s="140">
        <f>'Nj-AD+LD'!J52</f>
        <v>2722</v>
      </c>
      <c r="F52" s="177">
        <f>'Nj-AD+LD'!P52</f>
        <v>155</v>
      </c>
      <c r="G52" s="140">
        <f>'Nj-AD+LD'!Q52</f>
        <v>5561</v>
      </c>
      <c r="H52" s="177">
        <f>'Nj-AD+LD'!X52</f>
        <v>68</v>
      </c>
      <c r="I52" s="140">
        <f>'Nj-AD+LD'!Y52</f>
        <v>2305</v>
      </c>
      <c r="J52" s="175">
        <f>'Nj-AD+LD'!AE52</f>
        <v>421</v>
      </c>
      <c r="K52" s="147">
        <f>'Nj-AD+LD'!AF52</f>
        <v>13771</v>
      </c>
    </row>
    <row r="53" spans="1:11" s="179" customFormat="1" ht="12.75">
      <c r="A53" s="171">
        <v>2014</v>
      </c>
      <c r="B53" s="175">
        <f>'Nj-AD+LD'!B53</f>
        <v>114</v>
      </c>
      <c r="C53" s="141">
        <f>'Nj-AD+LD'!C53</f>
        <v>3297</v>
      </c>
      <c r="D53" s="175">
        <f>'Nj-AD+LD'!I53</f>
        <v>115</v>
      </c>
      <c r="E53" s="140">
        <f>'Nj-AD+LD'!J53</f>
        <v>2837</v>
      </c>
      <c r="F53" s="177">
        <f>'Nj-AD+LD'!P53</f>
        <v>143</v>
      </c>
      <c r="G53" s="140">
        <f>'Nj-AD+LD'!Q53</f>
        <v>5704</v>
      </c>
      <c r="H53" s="177">
        <f>'Nj-AD+LD'!X53</f>
        <v>68</v>
      </c>
      <c r="I53" s="140">
        <f>'Nj-AD+LD'!Y53</f>
        <v>2373</v>
      </c>
      <c r="J53" s="175">
        <f>'Nj-AD+LD'!AE53</f>
        <v>440</v>
      </c>
      <c r="K53" s="147">
        <f>'Nj-AD+LD'!AF53</f>
        <v>14211</v>
      </c>
    </row>
    <row r="54" spans="1:11" s="179" customFormat="1" ht="12.75">
      <c r="A54" s="171">
        <v>2015</v>
      </c>
      <c r="B54" s="175">
        <f>'Nj-AD+LD'!B54</f>
        <v>92</v>
      </c>
      <c r="C54" s="141">
        <f>'Nj-AD+LD'!C54</f>
        <v>3389</v>
      </c>
      <c r="D54" s="175">
        <f>'Nj-AD+LD'!I54</f>
        <v>98</v>
      </c>
      <c r="E54" s="140">
        <f>'Nj-AD+LD'!J54</f>
        <v>2935</v>
      </c>
      <c r="F54" s="177">
        <f>'Nj-AD+LD'!P54</f>
        <v>189</v>
      </c>
      <c r="G54" s="140">
        <f>'Nj-AD+LD'!Q54</f>
        <v>5893</v>
      </c>
      <c r="H54" s="177">
        <f>'Nj-AD+LD'!X54</f>
        <v>47</v>
      </c>
      <c r="I54" s="140">
        <f>'Nj-AD+LD'!Y54</f>
        <v>2420</v>
      </c>
      <c r="J54" s="175">
        <f>'Nj-AD+LD'!AE54</f>
        <v>426</v>
      </c>
      <c r="K54" s="147">
        <f>'Nj-AD+LD'!AF54</f>
        <v>14637</v>
      </c>
    </row>
    <row r="55" spans="1:11" s="179" customFormat="1" ht="12.75">
      <c r="A55" s="17">
        <v>2016</v>
      </c>
      <c r="B55" s="175">
        <f>'Nj-AD+LD'!B55</f>
        <v>101</v>
      </c>
      <c r="C55" s="141">
        <f>'Nj-AD+LD'!C55</f>
        <v>3490</v>
      </c>
      <c r="D55" s="175">
        <f>'Nj-AD+LD'!I55</f>
        <v>112</v>
      </c>
      <c r="E55" s="140">
        <f>'Nj-AD+LD'!J55</f>
        <v>3047</v>
      </c>
      <c r="F55" s="177">
        <f>'Nj-AD+LD'!P55</f>
        <v>136</v>
      </c>
      <c r="G55" s="140">
        <f>'Nj-AD+LD'!Q55</f>
        <v>6029</v>
      </c>
      <c r="H55" s="177">
        <f>'Nj-AD+LD'!X55</f>
        <v>76</v>
      </c>
      <c r="I55" s="140">
        <f>'Nj-AD+LD'!Y55</f>
        <v>2496</v>
      </c>
      <c r="J55" s="175">
        <f>'Nj-AD+LD'!AE55</f>
        <v>425</v>
      </c>
      <c r="K55" s="147">
        <f>'Nj-AD+LD'!AF55</f>
        <v>15062</v>
      </c>
    </row>
    <row r="56" spans="1:11" s="179" customFormat="1" ht="12.75">
      <c r="A56" s="17">
        <v>2017</v>
      </c>
      <c r="B56" s="175">
        <f>'Nj-AD+LD'!B56</f>
        <v>118</v>
      </c>
      <c r="C56" s="141">
        <f>'Nj-AD+LD'!C56</f>
        <v>3608</v>
      </c>
      <c r="D56" s="175">
        <f>'Nj-AD+LD'!I56</f>
        <v>110</v>
      </c>
      <c r="E56" s="140">
        <f>'Nj-AD+LD'!J56</f>
        <v>3157</v>
      </c>
      <c r="F56" s="177">
        <f>'Nj-AD+LD'!P56</f>
        <v>150</v>
      </c>
      <c r="G56" s="140">
        <f>'Nj-AD+LD'!Q56</f>
        <v>6179</v>
      </c>
      <c r="H56" s="177">
        <f>'Nj-AD+LD'!X56</f>
        <v>96</v>
      </c>
      <c r="I56" s="140">
        <f>'Nj-AD+LD'!Y56</f>
        <v>2592</v>
      </c>
      <c r="J56" s="175">
        <f>'Nj-AD+LD'!AE56</f>
        <v>474</v>
      </c>
      <c r="K56" s="147">
        <f>'Nj-AD+LD'!AF56</f>
        <v>15536</v>
      </c>
    </row>
    <row r="57" spans="1:11" s="179" customFormat="1" ht="12.75">
      <c r="A57" s="17">
        <v>2018</v>
      </c>
      <c r="B57" s="186">
        <f>'Nj-AD+LD'!B57</f>
        <v>91</v>
      </c>
      <c r="C57" s="187">
        <f>'Nj-AD+LD'!C57</f>
        <v>3699</v>
      </c>
      <c r="D57" s="186">
        <f>'Nj-AD+LD'!I57</f>
        <v>99</v>
      </c>
      <c r="E57" s="148">
        <f>'Nj-AD+LD'!J57</f>
        <v>3256</v>
      </c>
      <c r="F57" s="188">
        <f>'Nj-AD+LD'!P57</f>
        <v>166</v>
      </c>
      <c r="G57" s="148">
        <f>'Nj-AD+LD'!Q57</f>
        <v>6345</v>
      </c>
      <c r="H57" s="188">
        <f>'Nj-AD+LD'!X57</f>
        <v>92</v>
      </c>
      <c r="I57" s="148">
        <f>'Nj-AD+LD'!Y57</f>
        <v>2684</v>
      </c>
      <c r="J57" s="186">
        <f>'Nj-AD+LD'!AE57</f>
        <v>448</v>
      </c>
      <c r="K57" s="156">
        <f>'Nj-AD+LD'!AF57</f>
        <v>15984</v>
      </c>
    </row>
    <row r="58" spans="1:11" s="179" customFormat="1" ht="12.75">
      <c r="A58" s="17">
        <v>2019</v>
      </c>
      <c r="B58" s="175">
        <f>'Nj-AD+LD'!B58</f>
        <v>104</v>
      </c>
      <c r="C58" s="141">
        <f>'Nj-AD+LD'!C58</f>
        <v>3803</v>
      </c>
      <c r="D58" s="175">
        <f>'Nj-AD+LD'!I58</f>
        <v>96</v>
      </c>
      <c r="E58" s="140">
        <f>'Nj-AD+LD'!J58</f>
        <v>3352</v>
      </c>
      <c r="F58" s="177">
        <f>'Nj-AD+LD'!P58</f>
        <v>202</v>
      </c>
      <c r="G58" s="140">
        <f>'Nj-AD+LD'!Q58</f>
        <v>6547</v>
      </c>
      <c r="H58" s="177">
        <f>'Nj-AD+LD'!X58</f>
        <v>74</v>
      </c>
      <c r="I58" s="140">
        <f>'Nj-AD+LD'!Y58</f>
        <v>2758</v>
      </c>
      <c r="J58" s="175">
        <f>'Nj-AD+LD'!AE58</f>
        <v>476</v>
      </c>
      <c r="K58" s="147">
        <f>'Nj-AD+LD'!AF58</f>
        <v>16460</v>
      </c>
    </row>
    <row r="59" spans="1:11" s="179" customFormat="1" ht="12.75">
      <c r="A59" s="243">
        <v>2020</v>
      </c>
      <c r="B59" s="190">
        <f>'Nj-AD+LD'!B59</f>
        <v>40</v>
      </c>
      <c r="C59" s="165">
        <f>'Nj-AD+LD'!C59</f>
        <v>3843</v>
      </c>
      <c r="D59" s="190">
        <f>'Nj-AD+LD'!I59</f>
        <v>28</v>
      </c>
      <c r="E59" s="192">
        <f>'Nj-AD+LD'!J59</f>
        <v>3380</v>
      </c>
      <c r="F59" s="197">
        <f>'Nj-AD+LD'!P59</f>
        <v>46</v>
      </c>
      <c r="G59" s="192">
        <f>'Nj-AD+LD'!Q59</f>
        <v>6593</v>
      </c>
      <c r="H59" s="197">
        <f>'Nj-AD+LD'!X59</f>
        <v>16</v>
      </c>
      <c r="I59" s="192">
        <f>'Nj-AD+LD'!Y59</f>
        <v>2774</v>
      </c>
      <c r="J59" s="190">
        <f>'Nj-AD+LD'!AE59</f>
        <v>130</v>
      </c>
      <c r="K59" s="193">
        <f>'Nj-AD+LD'!AF59</f>
        <v>16590</v>
      </c>
    </row>
    <row r="60" spans="1:11" ht="12.75">
      <c r="A60" s="17"/>
      <c r="B60" s="27"/>
      <c r="C60" s="11"/>
      <c r="D60" s="8"/>
      <c r="E60" s="30"/>
      <c r="F60" s="37"/>
      <c r="G60" s="30"/>
      <c r="H60" s="20"/>
      <c r="I60" s="30"/>
      <c r="J60" s="37"/>
      <c r="K60" s="30"/>
    </row>
    <row r="61" spans="1:11" ht="12.75">
      <c r="A61" s="17"/>
      <c r="B61" s="27"/>
      <c r="C61" s="11"/>
      <c r="D61" s="8"/>
      <c r="E61" s="30"/>
      <c r="F61" s="37"/>
      <c r="G61" s="30"/>
      <c r="H61" s="20"/>
      <c r="I61" s="30"/>
      <c r="J61" s="37"/>
      <c r="K61" s="30"/>
    </row>
    <row r="62" spans="1:11" ht="12.75">
      <c r="A62" s="17"/>
      <c r="B62" s="27"/>
      <c r="C62" s="29"/>
      <c r="D62" s="8"/>
      <c r="E62" s="30"/>
      <c r="F62" s="37"/>
      <c r="G62" s="30"/>
      <c r="H62" s="20"/>
      <c r="I62" s="30"/>
      <c r="J62" s="37"/>
      <c r="K62" s="30"/>
    </row>
    <row r="63" spans="1:11" ht="12.75">
      <c r="A63" s="17"/>
      <c r="B63" s="27"/>
      <c r="C63" s="29"/>
      <c r="D63" s="8"/>
      <c r="E63" s="30"/>
      <c r="F63" s="37"/>
      <c r="G63" s="30"/>
      <c r="H63" s="20"/>
      <c r="I63" s="30"/>
      <c r="J63" s="37"/>
      <c r="K63" s="30"/>
    </row>
    <row r="64" spans="1:11" ht="12.75">
      <c r="A64" s="17"/>
      <c r="B64" s="27"/>
      <c r="C64" s="29"/>
      <c r="D64" s="8"/>
      <c r="E64" s="30"/>
      <c r="F64" s="37"/>
      <c r="G64" s="30"/>
      <c r="H64" s="20"/>
      <c r="I64" s="30"/>
      <c r="J64" s="37"/>
      <c r="K64" s="30"/>
    </row>
    <row r="65" spans="1:11" ht="12.75">
      <c r="A65" s="17"/>
      <c r="B65" s="27"/>
      <c r="C65" s="29"/>
      <c r="D65" s="8"/>
      <c r="E65" s="30"/>
      <c r="F65" s="37"/>
      <c r="G65" s="30"/>
      <c r="H65" s="20"/>
      <c r="I65" s="30"/>
      <c r="J65" s="37"/>
      <c r="K65" s="30"/>
    </row>
    <row r="66" spans="1:11" ht="12.75">
      <c r="A66" s="17"/>
      <c r="B66" s="27"/>
      <c r="C66" s="29"/>
      <c r="D66" s="8"/>
      <c r="E66" s="30"/>
      <c r="F66" s="37"/>
      <c r="G66" s="30"/>
      <c r="H66" s="20"/>
      <c r="I66" s="30"/>
      <c r="J66" s="37"/>
      <c r="K66" s="30"/>
    </row>
    <row r="67" spans="1:11" ht="12.75">
      <c r="A67" s="17"/>
      <c r="B67" s="27"/>
      <c r="C67" s="29"/>
      <c r="D67" s="8"/>
      <c r="E67" s="30"/>
      <c r="F67" s="37"/>
      <c r="G67" s="30"/>
      <c r="H67" s="20"/>
      <c r="I67" s="30"/>
      <c r="J67" s="37"/>
      <c r="K67" s="30"/>
    </row>
    <row r="68" spans="1:11" ht="12.75">
      <c r="A68" s="17"/>
      <c r="B68" s="27"/>
      <c r="C68" s="29"/>
      <c r="D68" s="8"/>
      <c r="E68" s="30"/>
      <c r="F68" s="37"/>
      <c r="G68" s="30"/>
      <c r="H68" s="20"/>
      <c r="I68" s="30"/>
      <c r="J68" s="37"/>
      <c r="K68" s="30"/>
    </row>
    <row r="69" spans="1:11" ht="12.75">
      <c r="A69" s="17"/>
      <c r="B69" s="27"/>
      <c r="C69" s="29"/>
      <c r="D69" s="8"/>
      <c r="E69" s="30"/>
      <c r="F69" s="37"/>
      <c r="G69" s="30"/>
      <c r="H69" s="20"/>
      <c r="I69" s="30"/>
      <c r="J69" s="37"/>
      <c r="K69" s="30"/>
    </row>
    <row r="70" spans="1:11" ht="12.75">
      <c r="A70" s="17"/>
      <c r="B70" s="27"/>
      <c r="C70" s="29"/>
      <c r="D70" s="8"/>
      <c r="E70" s="30"/>
      <c r="F70" s="37"/>
      <c r="G70" s="30"/>
      <c r="H70" s="20"/>
      <c r="I70" s="30"/>
      <c r="J70" s="37"/>
      <c r="K70" s="30"/>
    </row>
    <row r="71" spans="1:11" ht="12.75">
      <c r="A71" s="17"/>
      <c r="B71" s="27"/>
      <c r="C71" s="29"/>
      <c r="D71" s="8"/>
      <c r="E71" s="30"/>
      <c r="F71" s="37"/>
      <c r="G71" s="30"/>
      <c r="H71" s="20"/>
      <c r="I71" s="30"/>
      <c r="J71" s="37"/>
      <c r="K71" s="30"/>
    </row>
    <row r="72" spans="1:11" ht="12.75">
      <c r="A72" s="18"/>
      <c r="B72" s="28"/>
      <c r="C72" s="32"/>
      <c r="D72" s="42"/>
      <c r="E72" s="33"/>
      <c r="F72" s="38"/>
      <c r="G72" s="33"/>
      <c r="H72" s="21"/>
      <c r="I72" s="33"/>
      <c r="J72" s="38"/>
      <c r="K72" s="33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5">
    <mergeCell ref="B1:C1"/>
    <mergeCell ref="J1:K1"/>
    <mergeCell ref="D1:E1"/>
    <mergeCell ref="F1:G1"/>
    <mergeCell ref="H1:I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M339"/>
  <sheetViews>
    <sheetView showGridLines="0" zoomScalePageLayoutView="0" workbookViewId="0" topLeftCell="H1">
      <pane ySplit="1155" topLeftCell="A42" activePane="bottomLeft" state="split"/>
      <selection pane="topLeft" activeCell="B61" sqref="B61"/>
      <selection pane="bottomLeft" activeCell="O62" sqref="O62"/>
    </sheetView>
  </sheetViews>
  <sheetFormatPr defaultColWidth="9.140625" defaultRowHeight="12.75"/>
  <cols>
    <col min="1" max="1" width="5.7109375" style="1" customWidth="1"/>
    <col min="2" max="22" width="6.28125" style="0" customWidth="1"/>
    <col min="23" max="23" width="0.2890625" style="0" customWidth="1"/>
    <col min="24" max="37" width="6.28125" style="0" customWidth="1"/>
  </cols>
  <sheetData>
    <row r="1" spans="1:37" s="6" customFormat="1" ht="20.25" customHeight="1">
      <c r="A1" s="389" t="s">
        <v>4</v>
      </c>
      <c r="B1" s="384"/>
      <c r="C1" s="384"/>
      <c r="D1" s="384"/>
      <c r="E1" s="384"/>
      <c r="F1" s="384"/>
      <c r="G1" s="384"/>
      <c r="H1" s="384"/>
      <c r="I1" s="383" t="s">
        <v>5</v>
      </c>
      <c r="J1" s="384"/>
      <c r="K1" s="384"/>
      <c r="L1" s="384"/>
      <c r="M1" s="384"/>
      <c r="N1" s="384"/>
      <c r="O1" s="386"/>
      <c r="P1" s="384" t="s">
        <v>6</v>
      </c>
      <c r="Q1" s="384"/>
      <c r="R1" s="384"/>
      <c r="S1" s="384"/>
      <c r="T1" s="384"/>
      <c r="U1" s="384"/>
      <c r="V1" s="384"/>
      <c r="W1" s="23"/>
      <c r="X1" s="383" t="s">
        <v>7</v>
      </c>
      <c r="Y1" s="384"/>
      <c r="Z1" s="384"/>
      <c r="AA1" s="384"/>
      <c r="AB1" s="384"/>
      <c r="AC1" s="384"/>
      <c r="AD1" s="386"/>
      <c r="AE1" s="384" t="s">
        <v>8</v>
      </c>
      <c r="AF1" s="384"/>
      <c r="AG1" s="384"/>
      <c r="AH1" s="384"/>
      <c r="AI1" s="384"/>
      <c r="AJ1" s="384"/>
      <c r="AK1" s="385"/>
    </row>
    <row r="2" spans="1:37" s="2" customFormat="1" ht="25.5" customHeight="1" thickBot="1">
      <c r="A2" s="5" t="s">
        <v>9</v>
      </c>
      <c r="B2" s="3" t="s">
        <v>0</v>
      </c>
      <c r="C2" s="4" t="s">
        <v>1</v>
      </c>
      <c r="D2" s="5" t="s">
        <v>48</v>
      </c>
      <c r="E2" s="5" t="s">
        <v>49</v>
      </c>
      <c r="F2" s="5" t="s">
        <v>2</v>
      </c>
      <c r="G2" s="5" t="s">
        <v>38</v>
      </c>
      <c r="H2" s="4" t="s">
        <v>3</v>
      </c>
      <c r="I2" s="3" t="s">
        <v>0</v>
      </c>
      <c r="J2" s="4" t="s">
        <v>1</v>
      </c>
      <c r="K2" s="5" t="s">
        <v>48</v>
      </c>
      <c r="L2" s="5" t="s">
        <v>49</v>
      </c>
      <c r="M2" s="5" t="s">
        <v>2</v>
      </c>
      <c r="N2" s="5" t="s">
        <v>38</v>
      </c>
      <c r="O2" s="4" t="s">
        <v>3</v>
      </c>
      <c r="P2" s="3" t="s">
        <v>0</v>
      </c>
      <c r="Q2" s="4" t="s">
        <v>1</v>
      </c>
      <c r="R2" s="5" t="s">
        <v>48</v>
      </c>
      <c r="S2" s="5" t="s">
        <v>49</v>
      </c>
      <c r="T2" s="5" t="s">
        <v>2</v>
      </c>
      <c r="U2" s="5" t="s">
        <v>38</v>
      </c>
      <c r="V2" s="5" t="s">
        <v>3</v>
      </c>
      <c r="W2" s="24"/>
      <c r="X2" s="3" t="s">
        <v>0</v>
      </c>
      <c r="Y2" s="4" t="s">
        <v>1</v>
      </c>
      <c r="Z2" s="5" t="s">
        <v>48</v>
      </c>
      <c r="AA2" s="5" t="s">
        <v>49</v>
      </c>
      <c r="AB2" s="5" t="s">
        <v>2</v>
      </c>
      <c r="AC2" s="5" t="s">
        <v>38</v>
      </c>
      <c r="AD2" s="4" t="s">
        <v>3</v>
      </c>
      <c r="AE2" s="3" t="s">
        <v>0</v>
      </c>
      <c r="AF2" s="4" t="s">
        <v>1</v>
      </c>
      <c r="AG2" s="5" t="s">
        <v>48</v>
      </c>
      <c r="AH2" s="5" t="s">
        <v>49</v>
      </c>
      <c r="AI2" s="5" t="s">
        <v>2</v>
      </c>
      <c r="AJ2" s="5" t="s">
        <v>38</v>
      </c>
      <c r="AK2" s="4" t="s">
        <v>3</v>
      </c>
    </row>
    <row r="3" spans="1:37" s="78" customFormat="1" ht="17.25" customHeight="1" thickTop="1">
      <c r="A3" s="17">
        <v>1964</v>
      </c>
      <c r="B3" s="62">
        <f>D3+F3</f>
        <v>7</v>
      </c>
      <c r="C3" s="70">
        <f>D3+F3</f>
        <v>7</v>
      </c>
      <c r="D3" s="70">
        <v>3</v>
      </c>
      <c r="E3" s="70"/>
      <c r="F3" s="70">
        <v>4</v>
      </c>
      <c r="G3" s="70">
        <f>D3</f>
        <v>3</v>
      </c>
      <c r="H3" s="70">
        <f>F3</f>
        <v>4</v>
      </c>
      <c r="I3" s="62"/>
      <c r="J3" s="70"/>
      <c r="K3" s="70"/>
      <c r="L3" s="70"/>
      <c r="M3" s="70"/>
      <c r="N3" s="70"/>
      <c r="O3" s="70"/>
      <c r="P3" s="62"/>
      <c r="Q3" s="70"/>
      <c r="R3" s="70"/>
      <c r="S3" s="70"/>
      <c r="T3" s="70"/>
      <c r="U3" s="70"/>
      <c r="V3" s="76"/>
      <c r="W3" s="77"/>
      <c r="X3" s="71"/>
      <c r="Y3" s="70"/>
      <c r="Z3" s="70"/>
      <c r="AA3" s="70"/>
      <c r="AB3" s="70"/>
      <c r="AC3" s="70"/>
      <c r="AD3" s="70"/>
      <c r="AE3" s="62">
        <f>AG3+AI3</f>
        <v>7</v>
      </c>
      <c r="AF3" s="70">
        <f>AG3+AI3</f>
        <v>7</v>
      </c>
      <c r="AG3" s="70">
        <f aca="true" t="shared" si="0" ref="AG3:AG43">D3+K3+R3+Z3</f>
        <v>3</v>
      </c>
      <c r="AH3" s="70"/>
      <c r="AI3" s="70">
        <f aca="true" t="shared" si="1" ref="AI3:AI43">F3+M3+T3+AB3</f>
        <v>4</v>
      </c>
      <c r="AJ3" s="70">
        <f>AG3</f>
        <v>3</v>
      </c>
      <c r="AK3" s="70">
        <f>AI3</f>
        <v>4</v>
      </c>
    </row>
    <row r="4" spans="1:37" s="78" customFormat="1" ht="12.75">
      <c r="A4" s="17">
        <v>1965</v>
      </c>
      <c r="B4" s="62">
        <f aca="true" t="shared" si="2" ref="B4:B44">D4+F4</f>
        <v>9</v>
      </c>
      <c r="C4" s="64">
        <f>C3+B4</f>
        <v>16</v>
      </c>
      <c r="D4" s="65">
        <v>3</v>
      </c>
      <c r="E4" s="65"/>
      <c r="F4" s="65">
        <v>6</v>
      </c>
      <c r="G4" s="65">
        <f>G3+D4</f>
        <v>6</v>
      </c>
      <c r="H4" s="65">
        <f>H3+F4</f>
        <v>10</v>
      </c>
      <c r="I4" s="62"/>
      <c r="J4" s="64"/>
      <c r="K4" s="65"/>
      <c r="L4" s="65"/>
      <c r="M4" s="65"/>
      <c r="N4" s="65"/>
      <c r="O4" s="65"/>
      <c r="P4" s="62">
        <f aca="true" t="shared" si="3" ref="P4:P44">R4+T4</f>
        <v>5</v>
      </c>
      <c r="Q4" s="64">
        <f>Q3+P4</f>
        <v>5</v>
      </c>
      <c r="R4" s="65">
        <v>3</v>
      </c>
      <c r="S4" s="65"/>
      <c r="T4" s="65">
        <v>2</v>
      </c>
      <c r="U4" s="65">
        <f>U3+R4</f>
        <v>3</v>
      </c>
      <c r="V4" s="64">
        <f>V3+T4</f>
        <v>2</v>
      </c>
      <c r="W4" s="79"/>
      <c r="X4" s="62"/>
      <c r="Y4" s="64"/>
      <c r="Z4" s="65"/>
      <c r="AA4" s="65"/>
      <c r="AB4" s="65"/>
      <c r="AC4" s="65"/>
      <c r="AD4" s="65"/>
      <c r="AE4" s="62">
        <f aca="true" t="shared" si="4" ref="AE4:AE43">AG4+AI4</f>
        <v>14</v>
      </c>
      <c r="AF4" s="64">
        <f>AF3+AE4</f>
        <v>21</v>
      </c>
      <c r="AG4" s="65">
        <f t="shared" si="0"/>
        <v>6</v>
      </c>
      <c r="AH4" s="65"/>
      <c r="AI4" s="65">
        <f t="shared" si="1"/>
        <v>8</v>
      </c>
      <c r="AJ4" s="65">
        <f>AJ3+AG4</f>
        <v>9</v>
      </c>
      <c r="AK4" s="65">
        <f>AK3+AI4</f>
        <v>12</v>
      </c>
    </row>
    <row r="5" spans="1:37" s="78" customFormat="1" ht="12.75">
      <c r="A5" s="17">
        <v>1966</v>
      </c>
      <c r="B5" s="62">
        <f t="shared" si="2"/>
        <v>15</v>
      </c>
      <c r="C5" s="64">
        <f aca="true" t="shared" si="5" ref="C5:C44">C4+B5</f>
        <v>31</v>
      </c>
      <c r="D5" s="65">
        <v>4</v>
      </c>
      <c r="E5" s="65"/>
      <c r="F5" s="65">
        <v>11</v>
      </c>
      <c r="G5" s="65">
        <f aca="true" t="shared" si="6" ref="G5:G43">G4+D5</f>
        <v>10</v>
      </c>
      <c r="H5" s="65">
        <f aca="true" t="shared" si="7" ref="H5:H43">H4+F5</f>
        <v>21</v>
      </c>
      <c r="I5" s="62"/>
      <c r="J5" s="64"/>
      <c r="K5" s="65"/>
      <c r="L5" s="65"/>
      <c r="M5" s="65"/>
      <c r="N5" s="65"/>
      <c r="O5" s="65"/>
      <c r="P5" s="62">
        <f t="shared" si="3"/>
        <v>24</v>
      </c>
      <c r="Q5" s="64">
        <f aca="true" t="shared" si="8" ref="Q5:Q43">Q4+P5</f>
        <v>29</v>
      </c>
      <c r="R5" s="65">
        <v>12</v>
      </c>
      <c r="S5" s="65"/>
      <c r="T5" s="65">
        <v>12</v>
      </c>
      <c r="U5" s="65">
        <f aca="true" t="shared" si="9" ref="U5:U43">U4+R5</f>
        <v>15</v>
      </c>
      <c r="V5" s="64">
        <f aca="true" t="shared" si="10" ref="V5:V43">V4+T5</f>
        <v>14</v>
      </c>
      <c r="W5" s="79"/>
      <c r="X5" s="62"/>
      <c r="Y5" s="64"/>
      <c r="Z5" s="65"/>
      <c r="AA5" s="65"/>
      <c r="AB5" s="65"/>
      <c r="AC5" s="65"/>
      <c r="AD5" s="65"/>
      <c r="AE5" s="62">
        <f t="shared" si="4"/>
        <v>39</v>
      </c>
      <c r="AF5" s="64">
        <f aca="true" t="shared" si="11" ref="AF5:AF43">AF4+AE5</f>
        <v>60</v>
      </c>
      <c r="AG5" s="65">
        <f t="shared" si="0"/>
        <v>16</v>
      </c>
      <c r="AH5" s="65"/>
      <c r="AI5" s="65">
        <f t="shared" si="1"/>
        <v>23</v>
      </c>
      <c r="AJ5" s="65">
        <f aca="true" t="shared" si="12" ref="AJ5:AJ43">AJ4+AG5</f>
        <v>25</v>
      </c>
      <c r="AK5" s="65">
        <f aca="true" t="shared" si="13" ref="AK5:AK43">AK4+AI5</f>
        <v>35</v>
      </c>
    </row>
    <row r="6" spans="1:37" s="78" customFormat="1" ht="12.75">
      <c r="A6" s="17">
        <v>1967</v>
      </c>
      <c r="B6" s="62">
        <f t="shared" si="2"/>
        <v>12</v>
      </c>
      <c r="C6" s="64">
        <f t="shared" si="5"/>
        <v>43</v>
      </c>
      <c r="D6" s="65">
        <v>8</v>
      </c>
      <c r="E6" s="65"/>
      <c r="F6" s="65">
        <v>4</v>
      </c>
      <c r="G6" s="65">
        <f t="shared" si="6"/>
        <v>18</v>
      </c>
      <c r="H6" s="65">
        <f t="shared" si="7"/>
        <v>25</v>
      </c>
      <c r="I6" s="62"/>
      <c r="J6" s="64"/>
      <c r="K6" s="65"/>
      <c r="L6" s="65"/>
      <c r="M6" s="65"/>
      <c r="N6" s="65"/>
      <c r="O6" s="65"/>
      <c r="P6" s="62">
        <f t="shared" si="3"/>
        <v>45</v>
      </c>
      <c r="Q6" s="64">
        <f t="shared" si="8"/>
        <v>74</v>
      </c>
      <c r="R6" s="65">
        <v>32</v>
      </c>
      <c r="S6" s="65"/>
      <c r="T6" s="65">
        <v>13</v>
      </c>
      <c r="U6" s="65">
        <f t="shared" si="9"/>
        <v>47</v>
      </c>
      <c r="V6" s="64">
        <f t="shared" si="10"/>
        <v>27</v>
      </c>
      <c r="W6" s="79"/>
      <c r="X6" s="62"/>
      <c r="Y6" s="64"/>
      <c r="Z6" s="65"/>
      <c r="AA6" s="65"/>
      <c r="AB6" s="65"/>
      <c r="AC6" s="65"/>
      <c r="AD6" s="65"/>
      <c r="AE6" s="62">
        <f t="shared" si="4"/>
        <v>57</v>
      </c>
      <c r="AF6" s="64">
        <f t="shared" si="11"/>
        <v>117</v>
      </c>
      <c r="AG6" s="65">
        <f t="shared" si="0"/>
        <v>40</v>
      </c>
      <c r="AH6" s="65"/>
      <c r="AI6" s="65">
        <f t="shared" si="1"/>
        <v>17</v>
      </c>
      <c r="AJ6" s="65">
        <f t="shared" si="12"/>
        <v>65</v>
      </c>
      <c r="AK6" s="65">
        <f t="shared" si="13"/>
        <v>52</v>
      </c>
    </row>
    <row r="7" spans="1:37" s="78" customFormat="1" ht="12.75">
      <c r="A7" s="17">
        <v>1968</v>
      </c>
      <c r="B7" s="62">
        <f t="shared" si="2"/>
        <v>15</v>
      </c>
      <c r="C7" s="64">
        <f t="shared" si="5"/>
        <v>58</v>
      </c>
      <c r="D7" s="65">
        <v>12</v>
      </c>
      <c r="E7" s="65"/>
      <c r="F7" s="65">
        <v>3</v>
      </c>
      <c r="G7" s="65">
        <f t="shared" si="6"/>
        <v>30</v>
      </c>
      <c r="H7" s="65">
        <f t="shared" si="7"/>
        <v>28</v>
      </c>
      <c r="I7" s="62"/>
      <c r="J7" s="64"/>
      <c r="K7" s="65"/>
      <c r="L7" s="65"/>
      <c r="M7" s="65"/>
      <c r="N7" s="65"/>
      <c r="O7" s="65"/>
      <c r="P7" s="62">
        <f t="shared" si="3"/>
        <v>53</v>
      </c>
      <c r="Q7" s="64">
        <f t="shared" si="8"/>
        <v>127</v>
      </c>
      <c r="R7" s="65">
        <v>41</v>
      </c>
      <c r="S7" s="65"/>
      <c r="T7" s="65">
        <v>12</v>
      </c>
      <c r="U7" s="65">
        <f t="shared" si="9"/>
        <v>88</v>
      </c>
      <c r="V7" s="64">
        <f t="shared" si="10"/>
        <v>39</v>
      </c>
      <c r="W7" s="79"/>
      <c r="X7" s="62">
        <f aca="true" t="shared" si="14" ref="X7:X43">Z7+AB7</f>
        <v>3</v>
      </c>
      <c r="Y7" s="64">
        <f aca="true" t="shared" si="15" ref="Y7:Y43">Y6+X7</f>
        <v>3</v>
      </c>
      <c r="Z7" s="65">
        <v>2</v>
      </c>
      <c r="AA7" s="65"/>
      <c r="AB7" s="65">
        <v>1</v>
      </c>
      <c r="AC7" s="65">
        <f aca="true" t="shared" si="16" ref="AC7:AC43">AC6+Z7</f>
        <v>2</v>
      </c>
      <c r="AD7" s="65">
        <f aca="true" t="shared" si="17" ref="AD7:AD43">AD6+AB7</f>
        <v>1</v>
      </c>
      <c r="AE7" s="62">
        <f t="shared" si="4"/>
        <v>71</v>
      </c>
      <c r="AF7" s="64">
        <f t="shared" si="11"/>
        <v>188</v>
      </c>
      <c r="AG7" s="65">
        <f t="shared" si="0"/>
        <v>55</v>
      </c>
      <c r="AH7" s="65"/>
      <c r="AI7" s="65">
        <f t="shared" si="1"/>
        <v>16</v>
      </c>
      <c r="AJ7" s="65">
        <f t="shared" si="12"/>
        <v>120</v>
      </c>
      <c r="AK7" s="65">
        <f t="shared" si="13"/>
        <v>68</v>
      </c>
    </row>
    <row r="8" spans="1:37" s="78" customFormat="1" ht="12.75">
      <c r="A8" s="17">
        <v>1969</v>
      </c>
      <c r="B8" s="62">
        <f t="shared" si="2"/>
        <v>10</v>
      </c>
      <c r="C8" s="64">
        <f t="shared" si="5"/>
        <v>68</v>
      </c>
      <c r="D8" s="65">
        <v>8</v>
      </c>
      <c r="E8" s="65"/>
      <c r="F8" s="65">
        <v>2</v>
      </c>
      <c r="G8" s="65">
        <f t="shared" si="6"/>
        <v>38</v>
      </c>
      <c r="H8" s="65">
        <f t="shared" si="7"/>
        <v>30</v>
      </c>
      <c r="I8" s="62">
        <f aca="true" t="shared" si="18" ref="I8:I43">K8+M8</f>
        <v>6</v>
      </c>
      <c r="J8" s="64">
        <f aca="true" t="shared" si="19" ref="J8:J43">J7+I8</f>
        <v>6</v>
      </c>
      <c r="K8" s="65">
        <v>6</v>
      </c>
      <c r="L8" s="65"/>
      <c r="M8" s="65"/>
      <c r="N8" s="65">
        <f aca="true" t="shared" si="20" ref="N8:N43">N7+K8</f>
        <v>6</v>
      </c>
      <c r="O8" s="65"/>
      <c r="P8" s="62">
        <f t="shared" si="3"/>
        <v>69</v>
      </c>
      <c r="Q8" s="64">
        <f t="shared" si="8"/>
        <v>196</v>
      </c>
      <c r="R8" s="65">
        <v>64</v>
      </c>
      <c r="S8" s="65"/>
      <c r="T8" s="65">
        <v>5</v>
      </c>
      <c r="U8" s="65">
        <f t="shared" si="9"/>
        <v>152</v>
      </c>
      <c r="V8" s="64">
        <f t="shared" si="10"/>
        <v>44</v>
      </c>
      <c r="W8" s="79"/>
      <c r="X8" s="62">
        <f t="shared" si="14"/>
        <v>11</v>
      </c>
      <c r="Y8" s="64">
        <f t="shared" si="15"/>
        <v>14</v>
      </c>
      <c r="Z8" s="65">
        <v>11</v>
      </c>
      <c r="AA8" s="65"/>
      <c r="AB8" s="65"/>
      <c r="AC8" s="65">
        <f t="shared" si="16"/>
        <v>13</v>
      </c>
      <c r="AD8" s="65">
        <f t="shared" si="17"/>
        <v>1</v>
      </c>
      <c r="AE8" s="62">
        <f t="shared" si="4"/>
        <v>96</v>
      </c>
      <c r="AF8" s="64">
        <f t="shared" si="11"/>
        <v>284</v>
      </c>
      <c r="AG8" s="65">
        <f t="shared" si="0"/>
        <v>89</v>
      </c>
      <c r="AH8" s="65"/>
      <c r="AI8" s="65">
        <f t="shared" si="1"/>
        <v>7</v>
      </c>
      <c r="AJ8" s="65">
        <f t="shared" si="12"/>
        <v>209</v>
      </c>
      <c r="AK8" s="65">
        <f t="shared" si="13"/>
        <v>75</v>
      </c>
    </row>
    <row r="9" spans="1:37" s="78" customFormat="1" ht="12.75">
      <c r="A9" s="17">
        <v>1970</v>
      </c>
      <c r="B9" s="62">
        <f t="shared" si="2"/>
        <v>32</v>
      </c>
      <c r="C9" s="64">
        <f t="shared" si="5"/>
        <v>100</v>
      </c>
      <c r="D9" s="65">
        <v>30</v>
      </c>
      <c r="E9" s="65"/>
      <c r="F9" s="65">
        <v>2</v>
      </c>
      <c r="G9" s="65">
        <f t="shared" si="6"/>
        <v>68</v>
      </c>
      <c r="H9" s="65">
        <f t="shared" si="7"/>
        <v>32</v>
      </c>
      <c r="I9" s="62">
        <f t="shared" si="18"/>
        <v>16</v>
      </c>
      <c r="J9" s="64">
        <f t="shared" si="19"/>
        <v>22</v>
      </c>
      <c r="K9" s="65">
        <v>16</v>
      </c>
      <c r="L9" s="65"/>
      <c r="M9" s="65"/>
      <c r="N9" s="65">
        <f t="shared" si="20"/>
        <v>22</v>
      </c>
      <c r="O9" s="65"/>
      <c r="P9" s="62">
        <f t="shared" si="3"/>
        <v>79</v>
      </c>
      <c r="Q9" s="64">
        <f t="shared" si="8"/>
        <v>275</v>
      </c>
      <c r="R9" s="65">
        <v>77</v>
      </c>
      <c r="S9" s="65"/>
      <c r="T9" s="65">
        <v>2</v>
      </c>
      <c r="U9" s="65">
        <f t="shared" si="9"/>
        <v>229</v>
      </c>
      <c r="V9" s="64">
        <f t="shared" si="10"/>
        <v>46</v>
      </c>
      <c r="W9" s="79"/>
      <c r="X9" s="62">
        <f t="shared" si="14"/>
        <v>19</v>
      </c>
      <c r="Y9" s="64">
        <f t="shared" si="15"/>
        <v>33</v>
      </c>
      <c r="Z9" s="65">
        <v>19</v>
      </c>
      <c r="AA9" s="65"/>
      <c r="AB9" s="65"/>
      <c r="AC9" s="65">
        <f t="shared" si="16"/>
        <v>32</v>
      </c>
      <c r="AD9" s="65">
        <f t="shared" si="17"/>
        <v>1</v>
      </c>
      <c r="AE9" s="62">
        <f t="shared" si="4"/>
        <v>146</v>
      </c>
      <c r="AF9" s="64">
        <f t="shared" si="11"/>
        <v>430</v>
      </c>
      <c r="AG9" s="65">
        <f t="shared" si="0"/>
        <v>142</v>
      </c>
      <c r="AH9" s="65"/>
      <c r="AI9" s="65">
        <f t="shared" si="1"/>
        <v>4</v>
      </c>
      <c r="AJ9" s="65">
        <f t="shared" si="12"/>
        <v>351</v>
      </c>
      <c r="AK9" s="65">
        <f t="shared" si="13"/>
        <v>79</v>
      </c>
    </row>
    <row r="10" spans="1:37" s="78" customFormat="1" ht="12.75">
      <c r="A10" s="17">
        <v>1971</v>
      </c>
      <c r="B10" s="62">
        <f t="shared" si="2"/>
        <v>32</v>
      </c>
      <c r="C10" s="64">
        <f t="shared" si="5"/>
        <v>132</v>
      </c>
      <c r="D10" s="65">
        <v>25</v>
      </c>
      <c r="E10" s="65"/>
      <c r="F10" s="65">
        <v>7</v>
      </c>
      <c r="G10" s="65">
        <f t="shared" si="6"/>
        <v>93</v>
      </c>
      <c r="H10" s="65">
        <f t="shared" si="7"/>
        <v>39</v>
      </c>
      <c r="I10" s="62">
        <f t="shared" si="18"/>
        <v>20</v>
      </c>
      <c r="J10" s="64">
        <f t="shared" si="19"/>
        <v>42</v>
      </c>
      <c r="K10" s="65">
        <v>20</v>
      </c>
      <c r="L10" s="65"/>
      <c r="M10" s="65"/>
      <c r="N10" s="65">
        <f t="shared" si="20"/>
        <v>42</v>
      </c>
      <c r="O10" s="65"/>
      <c r="P10" s="62">
        <f t="shared" si="3"/>
        <v>79</v>
      </c>
      <c r="Q10" s="64">
        <f t="shared" si="8"/>
        <v>354</v>
      </c>
      <c r="R10" s="65">
        <v>70</v>
      </c>
      <c r="S10" s="65"/>
      <c r="T10" s="65">
        <v>9</v>
      </c>
      <c r="U10" s="65">
        <f t="shared" si="9"/>
        <v>299</v>
      </c>
      <c r="V10" s="64">
        <f t="shared" si="10"/>
        <v>55</v>
      </c>
      <c r="W10" s="79"/>
      <c r="X10" s="62">
        <f t="shared" si="14"/>
        <v>15</v>
      </c>
      <c r="Y10" s="64">
        <f t="shared" si="15"/>
        <v>48</v>
      </c>
      <c r="Z10" s="65">
        <v>15</v>
      </c>
      <c r="AA10" s="65"/>
      <c r="AB10" s="65"/>
      <c r="AC10" s="65">
        <f t="shared" si="16"/>
        <v>47</v>
      </c>
      <c r="AD10" s="65">
        <f t="shared" si="17"/>
        <v>1</v>
      </c>
      <c r="AE10" s="62">
        <f t="shared" si="4"/>
        <v>146</v>
      </c>
      <c r="AF10" s="64">
        <f t="shared" si="11"/>
        <v>576</v>
      </c>
      <c r="AG10" s="65">
        <f t="shared" si="0"/>
        <v>130</v>
      </c>
      <c r="AH10" s="65"/>
      <c r="AI10" s="65">
        <f t="shared" si="1"/>
        <v>16</v>
      </c>
      <c r="AJ10" s="65">
        <f t="shared" si="12"/>
        <v>481</v>
      </c>
      <c r="AK10" s="65">
        <f t="shared" si="13"/>
        <v>95</v>
      </c>
    </row>
    <row r="11" spans="1:37" s="78" customFormat="1" ht="12.75">
      <c r="A11" s="17">
        <v>1972</v>
      </c>
      <c r="B11" s="62">
        <f t="shared" si="2"/>
        <v>47</v>
      </c>
      <c r="C11" s="64">
        <f t="shared" si="5"/>
        <v>179</v>
      </c>
      <c r="D11" s="65">
        <v>33</v>
      </c>
      <c r="E11" s="65"/>
      <c r="F11" s="65">
        <v>14</v>
      </c>
      <c r="G11" s="65">
        <f t="shared" si="6"/>
        <v>126</v>
      </c>
      <c r="H11" s="65">
        <f t="shared" si="7"/>
        <v>53</v>
      </c>
      <c r="I11" s="62">
        <f t="shared" si="18"/>
        <v>17</v>
      </c>
      <c r="J11" s="64">
        <f t="shared" si="19"/>
        <v>59</v>
      </c>
      <c r="K11" s="65">
        <v>17</v>
      </c>
      <c r="L11" s="65"/>
      <c r="M11" s="65"/>
      <c r="N11" s="65">
        <f t="shared" si="20"/>
        <v>59</v>
      </c>
      <c r="O11" s="65"/>
      <c r="P11" s="62">
        <f t="shared" si="3"/>
        <v>97</v>
      </c>
      <c r="Q11" s="64">
        <f t="shared" si="8"/>
        <v>451</v>
      </c>
      <c r="R11" s="65">
        <v>86</v>
      </c>
      <c r="S11" s="65"/>
      <c r="T11" s="65">
        <v>11</v>
      </c>
      <c r="U11" s="65">
        <f t="shared" si="9"/>
        <v>385</v>
      </c>
      <c r="V11" s="64">
        <f t="shared" si="10"/>
        <v>66</v>
      </c>
      <c r="W11" s="79"/>
      <c r="X11" s="62">
        <f t="shared" si="14"/>
        <v>22</v>
      </c>
      <c r="Y11" s="64">
        <f t="shared" si="15"/>
        <v>70</v>
      </c>
      <c r="Z11" s="65">
        <v>21</v>
      </c>
      <c r="AA11" s="65"/>
      <c r="AB11" s="65">
        <v>1</v>
      </c>
      <c r="AC11" s="65">
        <f t="shared" si="16"/>
        <v>68</v>
      </c>
      <c r="AD11" s="65">
        <f t="shared" si="17"/>
        <v>2</v>
      </c>
      <c r="AE11" s="62">
        <f t="shared" si="4"/>
        <v>183</v>
      </c>
      <c r="AF11" s="64">
        <f t="shared" si="11"/>
        <v>759</v>
      </c>
      <c r="AG11" s="65">
        <f t="shared" si="0"/>
        <v>157</v>
      </c>
      <c r="AH11" s="65"/>
      <c r="AI11" s="65">
        <f t="shared" si="1"/>
        <v>26</v>
      </c>
      <c r="AJ11" s="65">
        <f t="shared" si="12"/>
        <v>638</v>
      </c>
      <c r="AK11" s="65">
        <f t="shared" si="13"/>
        <v>121</v>
      </c>
    </row>
    <row r="12" spans="1:37" s="78" customFormat="1" ht="12.75">
      <c r="A12" s="17">
        <v>1973</v>
      </c>
      <c r="B12" s="62">
        <f t="shared" si="2"/>
        <v>43</v>
      </c>
      <c r="C12" s="64">
        <f t="shared" si="5"/>
        <v>222</v>
      </c>
      <c r="D12" s="65">
        <v>34</v>
      </c>
      <c r="E12" s="65"/>
      <c r="F12" s="65">
        <v>9</v>
      </c>
      <c r="G12" s="65">
        <f t="shared" si="6"/>
        <v>160</v>
      </c>
      <c r="H12" s="65">
        <f t="shared" si="7"/>
        <v>62</v>
      </c>
      <c r="I12" s="62">
        <f t="shared" si="18"/>
        <v>20</v>
      </c>
      <c r="J12" s="64">
        <f t="shared" si="19"/>
        <v>79</v>
      </c>
      <c r="K12" s="65">
        <v>20</v>
      </c>
      <c r="L12" s="65"/>
      <c r="M12" s="65"/>
      <c r="N12" s="65">
        <f t="shared" si="20"/>
        <v>79</v>
      </c>
      <c r="O12" s="65"/>
      <c r="P12" s="62">
        <f t="shared" si="3"/>
        <v>105</v>
      </c>
      <c r="Q12" s="64">
        <f t="shared" si="8"/>
        <v>556</v>
      </c>
      <c r="R12" s="65">
        <v>84</v>
      </c>
      <c r="S12" s="65"/>
      <c r="T12" s="65">
        <v>21</v>
      </c>
      <c r="U12" s="65">
        <f t="shared" si="9"/>
        <v>469</v>
      </c>
      <c r="V12" s="64">
        <f t="shared" si="10"/>
        <v>87</v>
      </c>
      <c r="W12" s="79"/>
      <c r="X12" s="62">
        <f t="shared" si="14"/>
        <v>24</v>
      </c>
      <c r="Y12" s="64">
        <f t="shared" si="15"/>
        <v>94</v>
      </c>
      <c r="Z12" s="65">
        <v>24</v>
      </c>
      <c r="AA12" s="65"/>
      <c r="AB12" s="65"/>
      <c r="AC12" s="65">
        <f t="shared" si="16"/>
        <v>92</v>
      </c>
      <c r="AD12" s="65">
        <f t="shared" si="17"/>
        <v>2</v>
      </c>
      <c r="AE12" s="62">
        <f t="shared" si="4"/>
        <v>192</v>
      </c>
      <c r="AF12" s="64">
        <f t="shared" si="11"/>
        <v>951</v>
      </c>
      <c r="AG12" s="65">
        <f t="shared" si="0"/>
        <v>162</v>
      </c>
      <c r="AH12" s="65"/>
      <c r="AI12" s="65">
        <f t="shared" si="1"/>
        <v>30</v>
      </c>
      <c r="AJ12" s="65">
        <f t="shared" si="12"/>
        <v>800</v>
      </c>
      <c r="AK12" s="65">
        <f t="shared" si="13"/>
        <v>151</v>
      </c>
    </row>
    <row r="13" spans="1:37" s="78" customFormat="1" ht="12.75">
      <c r="A13" s="17">
        <v>1974</v>
      </c>
      <c r="B13" s="62">
        <f t="shared" si="2"/>
        <v>53</v>
      </c>
      <c r="C13" s="64">
        <f t="shared" si="5"/>
        <v>275</v>
      </c>
      <c r="D13" s="65">
        <v>46</v>
      </c>
      <c r="E13" s="65"/>
      <c r="F13" s="65">
        <v>7</v>
      </c>
      <c r="G13" s="65">
        <f t="shared" si="6"/>
        <v>206</v>
      </c>
      <c r="H13" s="65">
        <f t="shared" si="7"/>
        <v>69</v>
      </c>
      <c r="I13" s="62">
        <f t="shared" si="18"/>
        <v>30</v>
      </c>
      <c r="J13" s="64">
        <f t="shared" si="19"/>
        <v>109</v>
      </c>
      <c r="K13" s="65">
        <v>29</v>
      </c>
      <c r="L13" s="65"/>
      <c r="M13" s="65">
        <v>1</v>
      </c>
      <c r="N13" s="65">
        <f t="shared" si="20"/>
        <v>108</v>
      </c>
      <c r="O13" s="65">
        <f aca="true" t="shared" si="21" ref="O13:O43">O12+M13</f>
        <v>1</v>
      </c>
      <c r="P13" s="62">
        <f t="shared" si="3"/>
        <v>102</v>
      </c>
      <c r="Q13" s="64">
        <f t="shared" si="8"/>
        <v>658</v>
      </c>
      <c r="R13" s="65">
        <v>87</v>
      </c>
      <c r="S13" s="65"/>
      <c r="T13" s="65">
        <v>15</v>
      </c>
      <c r="U13" s="65">
        <f t="shared" si="9"/>
        <v>556</v>
      </c>
      <c r="V13" s="64">
        <f t="shared" si="10"/>
        <v>102</v>
      </c>
      <c r="W13" s="79"/>
      <c r="X13" s="62">
        <f t="shared" si="14"/>
        <v>22</v>
      </c>
      <c r="Y13" s="64">
        <f t="shared" si="15"/>
        <v>116</v>
      </c>
      <c r="Z13" s="65">
        <v>20</v>
      </c>
      <c r="AA13" s="65"/>
      <c r="AB13" s="65">
        <v>2</v>
      </c>
      <c r="AC13" s="65">
        <f t="shared" si="16"/>
        <v>112</v>
      </c>
      <c r="AD13" s="65">
        <f t="shared" si="17"/>
        <v>4</v>
      </c>
      <c r="AE13" s="62">
        <f t="shared" si="4"/>
        <v>207</v>
      </c>
      <c r="AF13" s="64">
        <f t="shared" si="11"/>
        <v>1158</v>
      </c>
      <c r="AG13" s="65">
        <f t="shared" si="0"/>
        <v>182</v>
      </c>
      <c r="AH13" s="65"/>
      <c r="AI13" s="65">
        <f t="shared" si="1"/>
        <v>25</v>
      </c>
      <c r="AJ13" s="65">
        <f t="shared" si="12"/>
        <v>982</v>
      </c>
      <c r="AK13" s="65">
        <f t="shared" si="13"/>
        <v>176</v>
      </c>
    </row>
    <row r="14" spans="1:37" s="78" customFormat="1" ht="12.75">
      <c r="A14" s="17">
        <v>1975</v>
      </c>
      <c r="B14" s="62">
        <f t="shared" si="2"/>
        <v>62</v>
      </c>
      <c r="C14" s="64">
        <f t="shared" si="5"/>
        <v>337</v>
      </c>
      <c r="D14" s="65">
        <v>48</v>
      </c>
      <c r="E14" s="65"/>
      <c r="F14" s="65">
        <v>14</v>
      </c>
      <c r="G14" s="65">
        <f t="shared" si="6"/>
        <v>254</v>
      </c>
      <c r="H14" s="65">
        <f t="shared" si="7"/>
        <v>83</v>
      </c>
      <c r="I14" s="62">
        <f t="shared" si="18"/>
        <v>31</v>
      </c>
      <c r="J14" s="64">
        <f t="shared" si="19"/>
        <v>140</v>
      </c>
      <c r="K14" s="65">
        <v>28</v>
      </c>
      <c r="L14" s="65"/>
      <c r="M14" s="65">
        <v>3</v>
      </c>
      <c r="N14" s="65">
        <f t="shared" si="20"/>
        <v>136</v>
      </c>
      <c r="O14" s="65">
        <f t="shared" si="21"/>
        <v>4</v>
      </c>
      <c r="P14" s="62">
        <f t="shared" si="3"/>
        <v>81</v>
      </c>
      <c r="Q14" s="64">
        <f t="shared" si="8"/>
        <v>739</v>
      </c>
      <c r="R14" s="65">
        <v>72</v>
      </c>
      <c r="S14" s="65"/>
      <c r="T14" s="65">
        <v>9</v>
      </c>
      <c r="U14" s="65">
        <f t="shared" si="9"/>
        <v>628</v>
      </c>
      <c r="V14" s="64">
        <f t="shared" si="10"/>
        <v>111</v>
      </c>
      <c r="W14" s="79"/>
      <c r="X14" s="62">
        <f t="shared" si="14"/>
        <v>18</v>
      </c>
      <c r="Y14" s="64">
        <f t="shared" si="15"/>
        <v>134</v>
      </c>
      <c r="Z14" s="65">
        <v>16</v>
      </c>
      <c r="AA14" s="65"/>
      <c r="AB14" s="65">
        <v>2</v>
      </c>
      <c r="AC14" s="65">
        <f t="shared" si="16"/>
        <v>128</v>
      </c>
      <c r="AD14" s="65">
        <f t="shared" si="17"/>
        <v>6</v>
      </c>
      <c r="AE14" s="62">
        <f t="shared" si="4"/>
        <v>192</v>
      </c>
      <c r="AF14" s="64">
        <f t="shared" si="11"/>
        <v>1350</v>
      </c>
      <c r="AG14" s="65">
        <f t="shared" si="0"/>
        <v>164</v>
      </c>
      <c r="AH14" s="65"/>
      <c r="AI14" s="65">
        <f t="shared" si="1"/>
        <v>28</v>
      </c>
      <c r="AJ14" s="65">
        <f t="shared" si="12"/>
        <v>1146</v>
      </c>
      <c r="AK14" s="65">
        <f t="shared" si="13"/>
        <v>204</v>
      </c>
    </row>
    <row r="15" spans="1:37" s="78" customFormat="1" ht="12.75">
      <c r="A15" s="17">
        <v>1976</v>
      </c>
      <c r="B15" s="62">
        <f t="shared" si="2"/>
        <v>56</v>
      </c>
      <c r="C15" s="64">
        <f t="shared" si="5"/>
        <v>393</v>
      </c>
      <c r="D15" s="65">
        <v>42</v>
      </c>
      <c r="E15" s="65"/>
      <c r="F15" s="65">
        <v>14</v>
      </c>
      <c r="G15" s="65">
        <f t="shared" si="6"/>
        <v>296</v>
      </c>
      <c r="H15" s="65">
        <f t="shared" si="7"/>
        <v>97</v>
      </c>
      <c r="I15" s="62">
        <f t="shared" si="18"/>
        <v>33</v>
      </c>
      <c r="J15" s="64">
        <f t="shared" si="19"/>
        <v>173</v>
      </c>
      <c r="K15" s="146">
        <v>32</v>
      </c>
      <c r="L15" s="146"/>
      <c r="M15" s="65">
        <v>1</v>
      </c>
      <c r="N15" s="65">
        <f t="shared" si="20"/>
        <v>168</v>
      </c>
      <c r="O15" s="65">
        <f t="shared" si="21"/>
        <v>5</v>
      </c>
      <c r="P15" s="62">
        <f t="shared" si="3"/>
        <v>54</v>
      </c>
      <c r="Q15" s="64">
        <f t="shared" si="8"/>
        <v>793</v>
      </c>
      <c r="R15" s="65">
        <v>43</v>
      </c>
      <c r="S15" s="65"/>
      <c r="T15" s="65">
        <v>11</v>
      </c>
      <c r="U15" s="65">
        <f t="shared" si="9"/>
        <v>671</v>
      </c>
      <c r="V15" s="64">
        <f t="shared" si="10"/>
        <v>122</v>
      </c>
      <c r="W15" s="79"/>
      <c r="X15" s="62">
        <f t="shared" si="14"/>
        <v>32</v>
      </c>
      <c r="Y15" s="64">
        <f t="shared" si="15"/>
        <v>166</v>
      </c>
      <c r="Z15" s="65">
        <v>29</v>
      </c>
      <c r="AA15" s="65"/>
      <c r="AB15" s="65">
        <v>3</v>
      </c>
      <c r="AC15" s="65">
        <f t="shared" si="16"/>
        <v>157</v>
      </c>
      <c r="AD15" s="65">
        <f t="shared" si="17"/>
        <v>9</v>
      </c>
      <c r="AE15" s="62">
        <f t="shared" si="4"/>
        <v>175</v>
      </c>
      <c r="AF15" s="64">
        <f t="shared" si="11"/>
        <v>1525</v>
      </c>
      <c r="AG15" s="65">
        <f t="shared" si="0"/>
        <v>146</v>
      </c>
      <c r="AH15" s="65"/>
      <c r="AI15" s="65">
        <f t="shared" si="1"/>
        <v>29</v>
      </c>
      <c r="AJ15" s="65">
        <f t="shared" si="12"/>
        <v>1292</v>
      </c>
      <c r="AK15" s="65">
        <f t="shared" si="13"/>
        <v>233</v>
      </c>
    </row>
    <row r="16" spans="1:37" s="78" customFormat="1" ht="12.75">
      <c r="A16" s="17">
        <v>1977</v>
      </c>
      <c r="B16" s="62">
        <f t="shared" si="2"/>
        <v>55</v>
      </c>
      <c r="C16" s="64">
        <f t="shared" si="5"/>
        <v>448</v>
      </c>
      <c r="D16" s="65">
        <v>46</v>
      </c>
      <c r="E16" s="65"/>
      <c r="F16" s="65">
        <v>9</v>
      </c>
      <c r="G16" s="65">
        <f t="shared" si="6"/>
        <v>342</v>
      </c>
      <c r="H16" s="65">
        <f t="shared" si="7"/>
        <v>106</v>
      </c>
      <c r="I16" s="62">
        <f t="shared" si="18"/>
        <v>26</v>
      </c>
      <c r="J16" s="64">
        <f t="shared" si="19"/>
        <v>199</v>
      </c>
      <c r="K16" s="65">
        <v>25</v>
      </c>
      <c r="L16" s="65"/>
      <c r="M16" s="65">
        <v>1</v>
      </c>
      <c r="N16" s="65">
        <f t="shared" si="20"/>
        <v>193</v>
      </c>
      <c r="O16" s="65">
        <f t="shared" si="21"/>
        <v>6</v>
      </c>
      <c r="P16" s="62">
        <f t="shared" si="3"/>
        <v>87</v>
      </c>
      <c r="Q16" s="64">
        <f t="shared" si="8"/>
        <v>880</v>
      </c>
      <c r="R16" s="65">
        <v>73</v>
      </c>
      <c r="S16" s="65"/>
      <c r="T16" s="65">
        <v>14</v>
      </c>
      <c r="U16" s="65">
        <f t="shared" si="9"/>
        <v>744</v>
      </c>
      <c r="V16" s="64">
        <f t="shared" si="10"/>
        <v>136</v>
      </c>
      <c r="W16" s="79"/>
      <c r="X16" s="62">
        <f t="shared" si="14"/>
        <v>46</v>
      </c>
      <c r="Y16" s="64">
        <f t="shared" si="15"/>
        <v>212</v>
      </c>
      <c r="Z16" s="65">
        <v>43</v>
      </c>
      <c r="AA16" s="65"/>
      <c r="AB16" s="65">
        <v>3</v>
      </c>
      <c r="AC16" s="65">
        <f t="shared" si="16"/>
        <v>200</v>
      </c>
      <c r="AD16" s="65">
        <f t="shared" si="17"/>
        <v>12</v>
      </c>
      <c r="AE16" s="62">
        <f t="shared" si="4"/>
        <v>214</v>
      </c>
      <c r="AF16" s="64">
        <f t="shared" si="11"/>
        <v>1739</v>
      </c>
      <c r="AG16" s="65">
        <f t="shared" si="0"/>
        <v>187</v>
      </c>
      <c r="AH16" s="65"/>
      <c r="AI16" s="65">
        <f t="shared" si="1"/>
        <v>27</v>
      </c>
      <c r="AJ16" s="65">
        <f t="shared" si="12"/>
        <v>1479</v>
      </c>
      <c r="AK16" s="65">
        <f t="shared" si="13"/>
        <v>260</v>
      </c>
    </row>
    <row r="17" spans="1:37" s="78" customFormat="1" ht="12.75">
      <c r="A17" s="17">
        <v>1978</v>
      </c>
      <c r="B17" s="62">
        <f t="shared" si="2"/>
        <v>45</v>
      </c>
      <c r="C17" s="64">
        <f t="shared" si="5"/>
        <v>493</v>
      </c>
      <c r="D17" s="65">
        <v>31</v>
      </c>
      <c r="E17" s="65"/>
      <c r="F17" s="65">
        <v>14</v>
      </c>
      <c r="G17" s="65">
        <f t="shared" si="6"/>
        <v>373</v>
      </c>
      <c r="H17" s="65">
        <f t="shared" si="7"/>
        <v>120</v>
      </c>
      <c r="I17" s="62">
        <f t="shared" si="18"/>
        <v>31</v>
      </c>
      <c r="J17" s="64">
        <f t="shared" si="19"/>
        <v>230</v>
      </c>
      <c r="K17" s="65">
        <v>31</v>
      </c>
      <c r="L17" s="65"/>
      <c r="M17" s="65"/>
      <c r="N17" s="65">
        <f t="shared" si="20"/>
        <v>224</v>
      </c>
      <c r="O17" s="65">
        <f t="shared" si="21"/>
        <v>6</v>
      </c>
      <c r="P17" s="62">
        <f t="shared" si="3"/>
        <v>98</v>
      </c>
      <c r="Q17" s="64">
        <f t="shared" si="8"/>
        <v>978</v>
      </c>
      <c r="R17" s="65">
        <v>69</v>
      </c>
      <c r="S17" s="65"/>
      <c r="T17" s="65">
        <v>29</v>
      </c>
      <c r="U17" s="65">
        <f t="shared" si="9"/>
        <v>813</v>
      </c>
      <c r="V17" s="64">
        <f t="shared" si="10"/>
        <v>165</v>
      </c>
      <c r="W17" s="79"/>
      <c r="X17" s="62">
        <f t="shared" si="14"/>
        <v>56</v>
      </c>
      <c r="Y17" s="64">
        <f t="shared" si="15"/>
        <v>268</v>
      </c>
      <c r="Z17" s="65">
        <v>53</v>
      </c>
      <c r="AA17" s="65"/>
      <c r="AB17" s="65">
        <v>3</v>
      </c>
      <c r="AC17" s="65">
        <f t="shared" si="16"/>
        <v>253</v>
      </c>
      <c r="AD17" s="65">
        <f t="shared" si="17"/>
        <v>15</v>
      </c>
      <c r="AE17" s="62">
        <f t="shared" si="4"/>
        <v>230</v>
      </c>
      <c r="AF17" s="64">
        <f t="shared" si="11"/>
        <v>1969</v>
      </c>
      <c r="AG17" s="65">
        <f t="shared" si="0"/>
        <v>184</v>
      </c>
      <c r="AH17" s="65"/>
      <c r="AI17" s="65">
        <f t="shared" si="1"/>
        <v>46</v>
      </c>
      <c r="AJ17" s="65">
        <f t="shared" si="12"/>
        <v>1663</v>
      </c>
      <c r="AK17" s="65">
        <f t="shared" si="13"/>
        <v>306</v>
      </c>
    </row>
    <row r="18" spans="1:37" s="78" customFormat="1" ht="12.75">
      <c r="A18" s="17">
        <v>1979</v>
      </c>
      <c r="B18" s="62">
        <f t="shared" si="2"/>
        <v>58</v>
      </c>
      <c r="C18" s="64">
        <f t="shared" si="5"/>
        <v>551</v>
      </c>
      <c r="D18" s="65">
        <v>41</v>
      </c>
      <c r="E18" s="65"/>
      <c r="F18" s="65">
        <v>17</v>
      </c>
      <c r="G18" s="65">
        <f t="shared" si="6"/>
        <v>414</v>
      </c>
      <c r="H18" s="65">
        <f t="shared" si="7"/>
        <v>137</v>
      </c>
      <c r="I18" s="62">
        <f t="shared" si="18"/>
        <v>30</v>
      </c>
      <c r="J18" s="64">
        <f t="shared" si="19"/>
        <v>260</v>
      </c>
      <c r="K18" s="65">
        <v>28</v>
      </c>
      <c r="L18" s="65"/>
      <c r="M18" s="65">
        <v>2</v>
      </c>
      <c r="N18" s="65">
        <f t="shared" si="20"/>
        <v>252</v>
      </c>
      <c r="O18" s="65">
        <f t="shared" si="21"/>
        <v>8</v>
      </c>
      <c r="P18" s="62">
        <f t="shared" si="3"/>
        <v>94</v>
      </c>
      <c r="Q18" s="64">
        <f t="shared" si="8"/>
        <v>1072</v>
      </c>
      <c r="R18" s="65">
        <v>71</v>
      </c>
      <c r="S18" s="65"/>
      <c r="T18" s="65">
        <v>23</v>
      </c>
      <c r="U18" s="65">
        <f t="shared" si="9"/>
        <v>884</v>
      </c>
      <c r="V18" s="64">
        <f t="shared" si="10"/>
        <v>188</v>
      </c>
      <c r="W18" s="79"/>
      <c r="X18" s="62">
        <f t="shared" si="14"/>
        <v>48</v>
      </c>
      <c r="Y18" s="64">
        <f t="shared" si="15"/>
        <v>316</v>
      </c>
      <c r="Z18" s="65">
        <v>37</v>
      </c>
      <c r="AA18" s="65"/>
      <c r="AB18" s="65">
        <v>11</v>
      </c>
      <c r="AC18" s="65">
        <f t="shared" si="16"/>
        <v>290</v>
      </c>
      <c r="AD18" s="65">
        <f t="shared" si="17"/>
        <v>26</v>
      </c>
      <c r="AE18" s="62">
        <f t="shared" si="4"/>
        <v>230</v>
      </c>
      <c r="AF18" s="64">
        <f t="shared" si="11"/>
        <v>2199</v>
      </c>
      <c r="AG18" s="65">
        <f t="shared" si="0"/>
        <v>177</v>
      </c>
      <c r="AH18" s="65"/>
      <c r="AI18" s="65">
        <f t="shared" si="1"/>
        <v>53</v>
      </c>
      <c r="AJ18" s="65">
        <f t="shared" si="12"/>
        <v>1840</v>
      </c>
      <c r="AK18" s="65">
        <f t="shared" si="13"/>
        <v>359</v>
      </c>
    </row>
    <row r="19" spans="1:37" s="78" customFormat="1" ht="12.75">
      <c r="A19" s="17">
        <v>1980</v>
      </c>
      <c r="B19" s="62">
        <f t="shared" si="2"/>
        <v>63</v>
      </c>
      <c r="C19" s="64">
        <f t="shared" si="5"/>
        <v>614</v>
      </c>
      <c r="D19" s="65">
        <v>38</v>
      </c>
      <c r="E19" s="65"/>
      <c r="F19" s="65">
        <v>25</v>
      </c>
      <c r="G19" s="65">
        <f t="shared" si="6"/>
        <v>452</v>
      </c>
      <c r="H19" s="65">
        <f t="shared" si="7"/>
        <v>162</v>
      </c>
      <c r="I19" s="62">
        <f t="shared" si="18"/>
        <v>32</v>
      </c>
      <c r="J19" s="64">
        <f t="shared" si="19"/>
        <v>292</v>
      </c>
      <c r="K19" s="65">
        <v>31</v>
      </c>
      <c r="L19" s="65"/>
      <c r="M19" s="65">
        <v>1</v>
      </c>
      <c r="N19" s="65">
        <f t="shared" si="20"/>
        <v>283</v>
      </c>
      <c r="O19" s="65">
        <f t="shared" si="21"/>
        <v>9</v>
      </c>
      <c r="P19" s="62">
        <f t="shared" si="3"/>
        <v>94</v>
      </c>
      <c r="Q19" s="64">
        <f t="shared" si="8"/>
        <v>1166</v>
      </c>
      <c r="R19" s="65">
        <v>66</v>
      </c>
      <c r="S19" s="65"/>
      <c r="T19" s="65">
        <v>28</v>
      </c>
      <c r="U19" s="65">
        <f t="shared" si="9"/>
        <v>950</v>
      </c>
      <c r="V19" s="64">
        <f t="shared" si="10"/>
        <v>216</v>
      </c>
      <c r="W19" s="79"/>
      <c r="X19" s="62">
        <f t="shared" si="14"/>
        <v>52</v>
      </c>
      <c r="Y19" s="64">
        <f t="shared" si="15"/>
        <v>368</v>
      </c>
      <c r="Z19" s="65">
        <v>41</v>
      </c>
      <c r="AA19" s="65"/>
      <c r="AB19" s="65">
        <v>11</v>
      </c>
      <c r="AC19" s="65">
        <f t="shared" si="16"/>
        <v>331</v>
      </c>
      <c r="AD19" s="65">
        <f t="shared" si="17"/>
        <v>37</v>
      </c>
      <c r="AE19" s="62">
        <f t="shared" si="4"/>
        <v>241</v>
      </c>
      <c r="AF19" s="64">
        <f t="shared" si="11"/>
        <v>2440</v>
      </c>
      <c r="AG19" s="65">
        <f t="shared" si="0"/>
        <v>176</v>
      </c>
      <c r="AH19" s="65"/>
      <c r="AI19" s="65">
        <f t="shared" si="1"/>
        <v>65</v>
      </c>
      <c r="AJ19" s="65">
        <f t="shared" si="12"/>
        <v>2016</v>
      </c>
      <c r="AK19" s="65">
        <f t="shared" si="13"/>
        <v>424</v>
      </c>
    </row>
    <row r="20" spans="1:37" s="78" customFormat="1" ht="12.75">
      <c r="A20" s="17">
        <v>1981</v>
      </c>
      <c r="B20" s="62">
        <f t="shared" si="2"/>
        <v>55</v>
      </c>
      <c r="C20" s="64">
        <f t="shared" si="5"/>
        <v>669</v>
      </c>
      <c r="D20" s="65">
        <v>39</v>
      </c>
      <c r="E20" s="65"/>
      <c r="F20" s="65">
        <v>16</v>
      </c>
      <c r="G20" s="65">
        <f t="shared" si="6"/>
        <v>491</v>
      </c>
      <c r="H20" s="65">
        <f t="shared" si="7"/>
        <v>178</v>
      </c>
      <c r="I20" s="62">
        <f t="shared" si="18"/>
        <v>41</v>
      </c>
      <c r="J20" s="64">
        <f t="shared" si="19"/>
        <v>333</v>
      </c>
      <c r="K20" s="65">
        <v>39</v>
      </c>
      <c r="L20" s="65"/>
      <c r="M20" s="65">
        <v>2</v>
      </c>
      <c r="N20" s="65">
        <f t="shared" si="20"/>
        <v>322</v>
      </c>
      <c r="O20" s="65">
        <f t="shared" si="21"/>
        <v>11</v>
      </c>
      <c r="P20" s="62">
        <f t="shared" si="3"/>
        <v>103</v>
      </c>
      <c r="Q20" s="64">
        <f t="shared" si="8"/>
        <v>1269</v>
      </c>
      <c r="R20" s="65">
        <v>73</v>
      </c>
      <c r="S20" s="65"/>
      <c r="T20" s="65">
        <v>30</v>
      </c>
      <c r="U20" s="65">
        <f t="shared" si="9"/>
        <v>1023</v>
      </c>
      <c r="V20" s="64">
        <f t="shared" si="10"/>
        <v>246</v>
      </c>
      <c r="W20" s="79"/>
      <c r="X20" s="62">
        <f t="shared" si="14"/>
        <v>46</v>
      </c>
      <c r="Y20" s="64">
        <f t="shared" si="15"/>
        <v>414</v>
      </c>
      <c r="Z20" s="65">
        <v>31</v>
      </c>
      <c r="AA20" s="65"/>
      <c r="AB20" s="65">
        <v>15</v>
      </c>
      <c r="AC20" s="65">
        <f t="shared" si="16"/>
        <v>362</v>
      </c>
      <c r="AD20" s="65">
        <f t="shared" si="17"/>
        <v>52</v>
      </c>
      <c r="AE20" s="62">
        <f t="shared" si="4"/>
        <v>245</v>
      </c>
      <c r="AF20" s="64">
        <f t="shared" si="11"/>
        <v>2685</v>
      </c>
      <c r="AG20" s="65">
        <f t="shared" si="0"/>
        <v>182</v>
      </c>
      <c r="AH20" s="65"/>
      <c r="AI20" s="65">
        <f t="shared" si="1"/>
        <v>63</v>
      </c>
      <c r="AJ20" s="65">
        <f t="shared" si="12"/>
        <v>2198</v>
      </c>
      <c r="AK20" s="65">
        <f t="shared" si="13"/>
        <v>487</v>
      </c>
    </row>
    <row r="21" spans="1:37" s="78" customFormat="1" ht="12.75">
      <c r="A21" s="17">
        <v>1982</v>
      </c>
      <c r="B21" s="62">
        <f t="shared" si="2"/>
        <v>54</v>
      </c>
      <c r="C21" s="64">
        <f t="shared" si="5"/>
        <v>723</v>
      </c>
      <c r="D21" s="65">
        <v>40</v>
      </c>
      <c r="E21" s="65"/>
      <c r="F21" s="65">
        <v>14</v>
      </c>
      <c r="G21" s="65">
        <f t="shared" si="6"/>
        <v>531</v>
      </c>
      <c r="H21" s="65">
        <f t="shared" si="7"/>
        <v>192</v>
      </c>
      <c r="I21" s="62">
        <f t="shared" si="18"/>
        <v>42</v>
      </c>
      <c r="J21" s="64">
        <f t="shared" si="19"/>
        <v>375</v>
      </c>
      <c r="K21" s="65">
        <v>39</v>
      </c>
      <c r="L21" s="65"/>
      <c r="M21" s="65">
        <v>3</v>
      </c>
      <c r="N21" s="65">
        <f t="shared" si="20"/>
        <v>361</v>
      </c>
      <c r="O21" s="65">
        <f t="shared" si="21"/>
        <v>14</v>
      </c>
      <c r="P21" s="62">
        <f t="shared" si="3"/>
        <v>96</v>
      </c>
      <c r="Q21" s="64">
        <f t="shared" si="8"/>
        <v>1365</v>
      </c>
      <c r="R21" s="65">
        <v>74</v>
      </c>
      <c r="S21" s="65"/>
      <c r="T21" s="65">
        <v>22</v>
      </c>
      <c r="U21" s="65">
        <f t="shared" si="9"/>
        <v>1097</v>
      </c>
      <c r="V21" s="64">
        <f t="shared" si="10"/>
        <v>268</v>
      </c>
      <c r="W21" s="79"/>
      <c r="X21" s="62">
        <f t="shared" si="14"/>
        <v>41</v>
      </c>
      <c r="Y21" s="64">
        <f t="shared" si="15"/>
        <v>455</v>
      </c>
      <c r="Z21" s="65">
        <v>28</v>
      </c>
      <c r="AA21" s="65"/>
      <c r="AB21" s="65">
        <v>13</v>
      </c>
      <c r="AC21" s="65">
        <f t="shared" si="16"/>
        <v>390</v>
      </c>
      <c r="AD21" s="65">
        <f t="shared" si="17"/>
        <v>65</v>
      </c>
      <c r="AE21" s="62">
        <f t="shared" si="4"/>
        <v>233</v>
      </c>
      <c r="AF21" s="64">
        <f t="shared" si="11"/>
        <v>2918</v>
      </c>
      <c r="AG21" s="65">
        <f t="shared" si="0"/>
        <v>181</v>
      </c>
      <c r="AH21" s="65"/>
      <c r="AI21" s="65">
        <f t="shared" si="1"/>
        <v>52</v>
      </c>
      <c r="AJ21" s="65">
        <f t="shared" si="12"/>
        <v>2379</v>
      </c>
      <c r="AK21" s="65">
        <f t="shared" si="13"/>
        <v>539</v>
      </c>
    </row>
    <row r="22" spans="1:37" s="78" customFormat="1" ht="12.75">
      <c r="A22" s="17">
        <v>1983</v>
      </c>
      <c r="B22" s="62">
        <f t="shared" si="2"/>
        <v>72</v>
      </c>
      <c r="C22" s="64">
        <f t="shared" si="5"/>
        <v>795</v>
      </c>
      <c r="D22" s="65">
        <v>56</v>
      </c>
      <c r="E22" s="65"/>
      <c r="F22" s="65">
        <v>16</v>
      </c>
      <c r="G22" s="65">
        <f t="shared" si="6"/>
        <v>587</v>
      </c>
      <c r="H22" s="65">
        <f t="shared" si="7"/>
        <v>208</v>
      </c>
      <c r="I22" s="62">
        <f t="shared" si="18"/>
        <v>43</v>
      </c>
      <c r="J22" s="64">
        <f t="shared" si="19"/>
        <v>418</v>
      </c>
      <c r="K22" s="65">
        <v>39</v>
      </c>
      <c r="L22" s="65"/>
      <c r="M22" s="65">
        <v>4</v>
      </c>
      <c r="N22" s="65">
        <f t="shared" si="20"/>
        <v>400</v>
      </c>
      <c r="O22" s="65">
        <f t="shared" si="21"/>
        <v>18</v>
      </c>
      <c r="P22" s="62">
        <f t="shared" si="3"/>
        <v>117</v>
      </c>
      <c r="Q22" s="64">
        <f t="shared" si="8"/>
        <v>1482</v>
      </c>
      <c r="R22" s="65">
        <v>79</v>
      </c>
      <c r="S22" s="65"/>
      <c r="T22" s="65">
        <v>38</v>
      </c>
      <c r="U22" s="65">
        <f t="shared" si="9"/>
        <v>1176</v>
      </c>
      <c r="V22" s="64">
        <f t="shared" si="10"/>
        <v>306</v>
      </c>
      <c r="W22" s="79"/>
      <c r="X22" s="62">
        <f t="shared" si="14"/>
        <v>45</v>
      </c>
      <c r="Y22" s="64">
        <f t="shared" si="15"/>
        <v>500</v>
      </c>
      <c r="Z22" s="65">
        <v>27</v>
      </c>
      <c r="AA22" s="65"/>
      <c r="AB22" s="65">
        <v>18</v>
      </c>
      <c r="AC22" s="65">
        <f t="shared" si="16"/>
        <v>417</v>
      </c>
      <c r="AD22" s="65">
        <f t="shared" si="17"/>
        <v>83</v>
      </c>
      <c r="AE22" s="62">
        <f t="shared" si="4"/>
        <v>277</v>
      </c>
      <c r="AF22" s="64">
        <f t="shared" si="11"/>
        <v>3195</v>
      </c>
      <c r="AG22" s="65">
        <f t="shared" si="0"/>
        <v>201</v>
      </c>
      <c r="AH22" s="65"/>
      <c r="AI22" s="65">
        <f t="shared" si="1"/>
        <v>76</v>
      </c>
      <c r="AJ22" s="65">
        <f t="shared" si="12"/>
        <v>2580</v>
      </c>
      <c r="AK22" s="65">
        <f t="shared" si="13"/>
        <v>615</v>
      </c>
    </row>
    <row r="23" spans="1:37" s="78" customFormat="1" ht="12.75">
      <c r="A23" s="17">
        <v>1984</v>
      </c>
      <c r="B23" s="62">
        <f t="shared" si="2"/>
        <v>88</v>
      </c>
      <c r="C23" s="64">
        <f t="shared" si="5"/>
        <v>883</v>
      </c>
      <c r="D23" s="65">
        <v>68</v>
      </c>
      <c r="E23" s="65"/>
      <c r="F23" s="65">
        <v>20</v>
      </c>
      <c r="G23" s="65">
        <f t="shared" si="6"/>
        <v>655</v>
      </c>
      <c r="H23" s="65">
        <f t="shared" si="7"/>
        <v>228</v>
      </c>
      <c r="I23" s="62">
        <f t="shared" si="18"/>
        <v>61</v>
      </c>
      <c r="J23" s="64">
        <f t="shared" si="19"/>
        <v>479</v>
      </c>
      <c r="K23" s="65">
        <v>55</v>
      </c>
      <c r="L23" s="65"/>
      <c r="M23" s="65">
        <v>6</v>
      </c>
      <c r="N23" s="65">
        <f t="shared" si="20"/>
        <v>455</v>
      </c>
      <c r="O23" s="65">
        <f t="shared" si="21"/>
        <v>24</v>
      </c>
      <c r="P23" s="62">
        <f t="shared" si="3"/>
        <v>121</v>
      </c>
      <c r="Q23" s="64">
        <f t="shared" si="8"/>
        <v>1603</v>
      </c>
      <c r="R23" s="65">
        <v>96</v>
      </c>
      <c r="S23" s="65"/>
      <c r="T23" s="65">
        <v>25</v>
      </c>
      <c r="U23" s="65">
        <f t="shared" si="9"/>
        <v>1272</v>
      </c>
      <c r="V23" s="64">
        <f t="shared" si="10"/>
        <v>331</v>
      </c>
      <c r="W23" s="79"/>
      <c r="X23" s="62">
        <f t="shared" si="14"/>
        <v>71</v>
      </c>
      <c r="Y23" s="64">
        <f t="shared" si="15"/>
        <v>571</v>
      </c>
      <c r="Z23" s="65">
        <v>53</v>
      </c>
      <c r="AA23" s="65"/>
      <c r="AB23" s="65">
        <v>18</v>
      </c>
      <c r="AC23" s="65">
        <f t="shared" si="16"/>
        <v>470</v>
      </c>
      <c r="AD23" s="65">
        <f t="shared" si="17"/>
        <v>101</v>
      </c>
      <c r="AE23" s="62">
        <f t="shared" si="4"/>
        <v>341</v>
      </c>
      <c r="AF23" s="64">
        <f t="shared" si="11"/>
        <v>3536</v>
      </c>
      <c r="AG23" s="65">
        <f t="shared" si="0"/>
        <v>272</v>
      </c>
      <c r="AH23" s="65"/>
      <c r="AI23" s="65">
        <f t="shared" si="1"/>
        <v>69</v>
      </c>
      <c r="AJ23" s="65">
        <f t="shared" si="12"/>
        <v>2852</v>
      </c>
      <c r="AK23" s="65">
        <f t="shared" si="13"/>
        <v>684</v>
      </c>
    </row>
    <row r="24" spans="1:37" s="78" customFormat="1" ht="12.75">
      <c r="A24" s="17">
        <v>1985</v>
      </c>
      <c r="B24" s="62">
        <f t="shared" si="2"/>
        <v>93</v>
      </c>
      <c r="C24" s="64">
        <f t="shared" si="5"/>
        <v>976</v>
      </c>
      <c r="D24" s="65">
        <v>73</v>
      </c>
      <c r="E24" s="65"/>
      <c r="F24" s="65">
        <v>20</v>
      </c>
      <c r="G24" s="65">
        <f t="shared" si="6"/>
        <v>728</v>
      </c>
      <c r="H24" s="65">
        <f t="shared" si="7"/>
        <v>248</v>
      </c>
      <c r="I24" s="62">
        <f t="shared" si="18"/>
        <v>58</v>
      </c>
      <c r="J24" s="64">
        <f t="shared" si="19"/>
        <v>537</v>
      </c>
      <c r="K24" s="65">
        <v>54</v>
      </c>
      <c r="L24" s="65"/>
      <c r="M24" s="65">
        <v>4</v>
      </c>
      <c r="N24" s="65">
        <f t="shared" si="20"/>
        <v>509</v>
      </c>
      <c r="O24" s="65">
        <f t="shared" si="21"/>
        <v>28</v>
      </c>
      <c r="P24" s="62">
        <f t="shared" si="3"/>
        <v>130</v>
      </c>
      <c r="Q24" s="64">
        <f t="shared" si="8"/>
        <v>1733</v>
      </c>
      <c r="R24" s="65">
        <v>101</v>
      </c>
      <c r="S24" s="65"/>
      <c r="T24" s="65">
        <v>29</v>
      </c>
      <c r="U24" s="65">
        <f t="shared" si="9"/>
        <v>1373</v>
      </c>
      <c r="V24" s="64">
        <f t="shared" si="10"/>
        <v>360</v>
      </c>
      <c r="W24" s="79"/>
      <c r="X24" s="62">
        <f t="shared" si="14"/>
        <v>48</v>
      </c>
      <c r="Y24" s="64">
        <f t="shared" si="15"/>
        <v>619</v>
      </c>
      <c r="Z24" s="65">
        <v>36</v>
      </c>
      <c r="AA24" s="65"/>
      <c r="AB24" s="65">
        <v>12</v>
      </c>
      <c r="AC24" s="65">
        <f t="shared" si="16"/>
        <v>506</v>
      </c>
      <c r="AD24" s="65">
        <f t="shared" si="17"/>
        <v>113</v>
      </c>
      <c r="AE24" s="62">
        <f t="shared" si="4"/>
        <v>329</v>
      </c>
      <c r="AF24" s="64">
        <f t="shared" si="11"/>
        <v>3865</v>
      </c>
      <c r="AG24" s="65">
        <f t="shared" si="0"/>
        <v>264</v>
      </c>
      <c r="AH24" s="65"/>
      <c r="AI24" s="65">
        <f t="shared" si="1"/>
        <v>65</v>
      </c>
      <c r="AJ24" s="65">
        <f t="shared" si="12"/>
        <v>3116</v>
      </c>
      <c r="AK24" s="65">
        <f t="shared" si="13"/>
        <v>749</v>
      </c>
    </row>
    <row r="25" spans="1:37" s="78" customFormat="1" ht="12.75">
      <c r="A25" s="17">
        <v>1986</v>
      </c>
      <c r="B25" s="62">
        <f t="shared" si="2"/>
        <v>82</v>
      </c>
      <c r="C25" s="64">
        <f t="shared" si="5"/>
        <v>1058</v>
      </c>
      <c r="D25" s="65">
        <v>65</v>
      </c>
      <c r="E25" s="65"/>
      <c r="F25" s="65">
        <v>17</v>
      </c>
      <c r="G25" s="65">
        <f t="shared" si="6"/>
        <v>793</v>
      </c>
      <c r="H25" s="65">
        <f t="shared" si="7"/>
        <v>265</v>
      </c>
      <c r="I25" s="62">
        <f t="shared" si="18"/>
        <v>63</v>
      </c>
      <c r="J25" s="64">
        <f t="shared" si="19"/>
        <v>600</v>
      </c>
      <c r="K25" s="65">
        <v>56</v>
      </c>
      <c r="L25" s="65"/>
      <c r="M25" s="65">
        <v>7</v>
      </c>
      <c r="N25" s="65">
        <f t="shared" si="20"/>
        <v>565</v>
      </c>
      <c r="O25" s="65">
        <f t="shared" si="21"/>
        <v>35</v>
      </c>
      <c r="P25" s="62">
        <f t="shared" si="3"/>
        <v>148</v>
      </c>
      <c r="Q25" s="64">
        <f t="shared" si="8"/>
        <v>1881</v>
      </c>
      <c r="R25" s="65">
        <v>125</v>
      </c>
      <c r="S25" s="65"/>
      <c r="T25" s="65">
        <v>23</v>
      </c>
      <c r="U25" s="65">
        <f t="shared" si="9"/>
        <v>1498</v>
      </c>
      <c r="V25" s="64">
        <f t="shared" si="10"/>
        <v>383</v>
      </c>
      <c r="W25" s="79"/>
      <c r="X25" s="62">
        <f t="shared" si="14"/>
        <v>56</v>
      </c>
      <c r="Y25" s="64">
        <f t="shared" si="15"/>
        <v>675</v>
      </c>
      <c r="Z25" s="65">
        <v>41</v>
      </c>
      <c r="AA25" s="65"/>
      <c r="AB25" s="65">
        <v>15</v>
      </c>
      <c r="AC25" s="65">
        <f t="shared" si="16"/>
        <v>547</v>
      </c>
      <c r="AD25" s="65">
        <f t="shared" si="17"/>
        <v>128</v>
      </c>
      <c r="AE25" s="62">
        <f t="shared" si="4"/>
        <v>349</v>
      </c>
      <c r="AF25" s="64">
        <f t="shared" si="11"/>
        <v>4214</v>
      </c>
      <c r="AG25" s="65">
        <f t="shared" si="0"/>
        <v>287</v>
      </c>
      <c r="AH25" s="65"/>
      <c r="AI25" s="65">
        <f t="shared" si="1"/>
        <v>62</v>
      </c>
      <c r="AJ25" s="65">
        <f t="shared" si="12"/>
        <v>3403</v>
      </c>
      <c r="AK25" s="65">
        <f t="shared" si="13"/>
        <v>811</v>
      </c>
    </row>
    <row r="26" spans="1:37" s="78" customFormat="1" ht="12.75">
      <c r="A26" s="17">
        <v>1987</v>
      </c>
      <c r="B26" s="62">
        <f t="shared" si="2"/>
        <v>89</v>
      </c>
      <c r="C26" s="64">
        <f t="shared" si="5"/>
        <v>1147</v>
      </c>
      <c r="D26" s="65">
        <v>65</v>
      </c>
      <c r="E26" s="65"/>
      <c r="F26" s="65">
        <v>24</v>
      </c>
      <c r="G26" s="65">
        <f t="shared" si="6"/>
        <v>858</v>
      </c>
      <c r="H26" s="65">
        <f t="shared" si="7"/>
        <v>289</v>
      </c>
      <c r="I26" s="62">
        <f t="shared" si="18"/>
        <v>85</v>
      </c>
      <c r="J26" s="64">
        <f t="shared" si="19"/>
        <v>685</v>
      </c>
      <c r="K26" s="65">
        <v>71</v>
      </c>
      <c r="L26" s="65"/>
      <c r="M26" s="65">
        <v>14</v>
      </c>
      <c r="N26" s="65">
        <f t="shared" si="20"/>
        <v>636</v>
      </c>
      <c r="O26" s="65">
        <f t="shared" si="21"/>
        <v>49</v>
      </c>
      <c r="P26" s="62">
        <f t="shared" si="3"/>
        <v>146</v>
      </c>
      <c r="Q26" s="64">
        <f t="shared" si="8"/>
        <v>2027</v>
      </c>
      <c r="R26" s="65">
        <v>106</v>
      </c>
      <c r="S26" s="65"/>
      <c r="T26" s="65">
        <v>40</v>
      </c>
      <c r="U26" s="65">
        <f t="shared" si="9"/>
        <v>1604</v>
      </c>
      <c r="V26" s="64">
        <f t="shared" si="10"/>
        <v>423</v>
      </c>
      <c r="W26" s="79"/>
      <c r="X26" s="62">
        <f t="shared" si="14"/>
        <v>62</v>
      </c>
      <c r="Y26" s="64">
        <f t="shared" si="15"/>
        <v>737</v>
      </c>
      <c r="Z26" s="65">
        <v>53</v>
      </c>
      <c r="AA26" s="65"/>
      <c r="AB26" s="65">
        <v>9</v>
      </c>
      <c r="AC26" s="65">
        <f t="shared" si="16"/>
        <v>600</v>
      </c>
      <c r="AD26" s="65">
        <f t="shared" si="17"/>
        <v>137</v>
      </c>
      <c r="AE26" s="62">
        <f t="shared" si="4"/>
        <v>382</v>
      </c>
      <c r="AF26" s="64">
        <f t="shared" si="11"/>
        <v>4596</v>
      </c>
      <c r="AG26" s="65">
        <f t="shared" si="0"/>
        <v>295</v>
      </c>
      <c r="AH26" s="65"/>
      <c r="AI26" s="65">
        <f t="shared" si="1"/>
        <v>87</v>
      </c>
      <c r="AJ26" s="65">
        <f t="shared" si="12"/>
        <v>3698</v>
      </c>
      <c r="AK26" s="65">
        <f t="shared" si="13"/>
        <v>898</v>
      </c>
    </row>
    <row r="27" spans="1:37" s="78" customFormat="1" ht="12.75">
      <c r="A27" s="17">
        <v>1988</v>
      </c>
      <c r="B27" s="62">
        <f t="shared" si="2"/>
        <v>87</v>
      </c>
      <c r="C27" s="64">
        <f t="shared" si="5"/>
        <v>1234</v>
      </c>
      <c r="D27" s="65">
        <v>64</v>
      </c>
      <c r="E27" s="65"/>
      <c r="F27" s="65">
        <v>23</v>
      </c>
      <c r="G27" s="65">
        <f t="shared" si="6"/>
        <v>922</v>
      </c>
      <c r="H27" s="65">
        <f t="shared" si="7"/>
        <v>312</v>
      </c>
      <c r="I27" s="62">
        <f t="shared" si="18"/>
        <v>79</v>
      </c>
      <c r="J27" s="64">
        <f t="shared" si="19"/>
        <v>764</v>
      </c>
      <c r="K27" s="65">
        <v>69</v>
      </c>
      <c r="L27" s="65"/>
      <c r="M27" s="65">
        <v>10</v>
      </c>
      <c r="N27" s="65">
        <f t="shared" si="20"/>
        <v>705</v>
      </c>
      <c r="O27" s="65">
        <f t="shared" si="21"/>
        <v>59</v>
      </c>
      <c r="P27" s="62">
        <f t="shared" si="3"/>
        <v>132</v>
      </c>
      <c r="Q27" s="64">
        <f t="shared" si="8"/>
        <v>2159</v>
      </c>
      <c r="R27" s="65">
        <v>98</v>
      </c>
      <c r="S27" s="65"/>
      <c r="T27" s="65">
        <v>34</v>
      </c>
      <c r="U27" s="65">
        <f t="shared" si="9"/>
        <v>1702</v>
      </c>
      <c r="V27" s="64">
        <f t="shared" si="10"/>
        <v>457</v>
      </c>
      <c r="W27" s="79"/>
      <c r="X27" s="62">
        <f t="shared" si="14"/>
        <v>57</v>
      </c>
      <c r="Y27" s="64">
        <f t="shared" si="15"/>
        <v>794</v>
      </c>
      <c r="Z27" s="65">
        <v>37</v>
      </c>
      <c r="AA27" s="65"/>
      <c r="AB27" s="65">
        <v>20</v>
      </c>
      <c r="AC27" s="65">
        <f t="shared" si="16"/>
        <v>637</v>
      </c>
      <c r="AD27" s="65">
        <f t="shared" si="17"/>
        <v>157</v>
      </c>
      <c r="AE27" s="62">
        <f t="shared" si="4"/>
        <v>355</v>
      </c>
      <c r="AF27" s="64">
        <f t="shared" si="11"/>
        <v>4951</v>
      </c>
      <c r="AG27" s="65">
        <f t="shared" si="0"/>
        <v>268</v>
      </c>
      <c r="AH27" s="65"/>
      <c r="AI27" s="65">
        <f t="shared" si="1"/>
        <v>87</v>
      </c>
      <c r="AJ27" s="65">
        <f t="shared" si="12"/>
        <v>3966</v>
      </c>
      <c r="AK27" s="65">
        <f t="shared" si="13"/>
        <v>985</v>
      </c>
    </row>
    <row r="28" spans="1:37" s="78" customFormat="1" ht="12.75">
      <c r="A28" s="17">
        <v>1989</v>
      </c>
      <c r="B28" s="62">
        <f t="shared" si="2"/>
        <v>79</v>
      </c>
      <c r="C28" s="64">
        <f t="shared" si="5"/>
        <v>1313</v>
      </c>
      <c r="D28" s="65">
        <v>62</v>
      </c>
      <c r="E28" s="65"/>
      <c r="F28" s="65">
        <v>17</v>
      </c>
      <c r="G28" s="65">
        <f t="shared" si="6"/>
        <v>984</v>
      </c>
      <c r="H28" s="65">
        <f t="shared" si="7"/>
        <v>329</v>
      </c>
      <c r="I28" s="62">
        <f t="shared" si="18"/>
        <v>81</v>
      </c>
      <c r="J28" s="64">
        <f t="shared" si="19"/>
        <v>845</v>
      </c>
      <c r="K28" s="65">
        <v>63</v>
      </c>
      <c r="L28" s="65"/>
      <c r="M28" s="65">
        <v>18</v>
      </c>
      <c r="N28" s="65">
        <f t="shared" si="20"/>
        <v>768</v>
      </c>
      <c r="O28" s="65">
        <f t="shared" si="21"/>
        <v>77</v>
      </c>
      <c r="P28" s="62">
        <f t="shared" si="3"/>
        <v>145</v>
      </c>
      <c r="Q28" s="64">
        <f t="shared" si="8"/>
        <v>2304</v>
      </c>
      <c r="R28" s="65">
        <v>111</v>
      </c>
      <c r="S28" s="65"/>
      <c r="T28" s="65">
        <v>34</v>
      </c>
      <c r="U28" s="65">
        <f t="shared" si="9"/>
        <v>1813</v>
      </c>
      <c r="V28" s="64">
        <f t="shared" si="10"/>
        <v>491</v>
      </c>
      <c r="W28" s="79"/>
      <c r="X28" s="62">
        <f t="shared" si="14"/>
        <v>66</v>
      </c>
      <c r="Y28" s="64">
        <f t="shared" si="15"/>
        <v>860</v>
      </c>
      <c r="Z28" s="65">
        <v>54</v>
      </c>
      <c r="AA28" s="65"/>
      <c r="AB28" s="65">
        <v>12</v>
      </c>
      <c r="AC28" s="65">
        <f t="shared" si="16"/>
        <v>691</v>
      </c>
      <c r="AD28" s="65">
        <f t="shared" si="17"/>
        <v>169</v>
      </c>
      <c r="AE28" s="62">
        <f t="shared" si="4"/>
        <v>371</v>
      </c>
      <c r="AF28" s="64">
        <f t="shared" si="11"/>
        <v>5322</v>
      </c>
      <c r="AG28" s="65">
        <f t="shared" si="0"/>
        <v>290</v>
      </c>
      <c r="AH28" s="65"/>
      <c r="AI28" s="65">
        <f t="shared" si="1"/>
        <v>81</v>
      </c>
      <c r="AJ28" s="65">
        <f t="shared" si="12"/>
        <v>4256</v>
      </c>
      <c r="AK28" s="65">
        <f t="shared" si="13"/>
        <v>1066</v>
      </c>
    </row>
    <row r="29" spans="1:37" s="78" customFormat="1" ht="12.75">
      <c r="A29" s="17">
        <v>1990</v>
      </c>
      <c r="B29" s="62">
        <f t="shared" si="2"/>
        <v>89</v>
      </c>
      <c r="C29" s="64">
        <f t="shared" si="5"/>
        <v>1402</v>
      </c>
      <c r="D29" s="65">
        <v>65</v>
      </c>
      <c r="E29" s="65"/>
      <c r="F29" s="65">
        <v>24</v>
      </c>
      <c r="G29" s="65">
        <f t="shared" si="6"/>
        <v>1049</v>
      </c>
      <c r="H29" s="65">
        <f t="shared" si="7"/>
        <v>353</v>
      </c>
      <c r="I29" s="62">
        <f t="shared" si="18"/>
        <v>66</v>
      </c>
      <c r="J29" s="64">
        <f t="shared" si="19"/>
        <v>911</v>
      </c>
      <c r="K29" s="65">
        <v>61</v>
      </c>
      <c r="L29" s="65"/>
      <c r="M29" s="65">
        <v>5</v>
      </c>
      <c r="N29" s="65">
        <f t="shared" si="20"/>
        <v>829</v>
      </c>
      <c r="O29" s="65">
        <f t="shared" si="21"/>
        <v>82</v>
      </c>
      <c r="P29" s="62">
        <f t="shared" si="3"/>
        <v>119</v>
      </c>
      <c r="Q29" s="64">
        <f t="shared" si="8"/>
        <v>2423</v>
      </c>
      <c r="R29" s="65">
        <v>84</v>
      </c>
      <c r="S29" s="65"/>
      <c r="T29" s="65">
        <v>35</v>
      </c>
      <c r="U29" s="65">
        <f t="shared" si="9"/>
        <v>1897</v>
      </c>
      <c r="V29" s="64">
        <f t="shared" si="10"/>
        <v>526</v>
      </c>
      <c r="W29" s="79"/>
      <c r="X29" s="62">
        <f t="shared" si="14"/>
        <v>57</v>
      </c>
      <c r="Y29" s="64">
        <f t="shared" si="15"/>
        <v>917</v>
      </c>
      <c r="Z29" s="65">
        <v>43</v>
      </c>
      <c r="AA29" s="65"/>
      <c r="AB29" s="65">
        <v>14</v>
      </c>
      <c r="AC29" s="65">
        <f t="shared" si="16"/>
        <v>734</v>
      </c>
      <c r="AD29" s="65">
        <f t="shared" si="17"/>
        <v>183</v>
      </c>
      <c r="AE29" s="62">
        <f t="shared" si="4"/>
        <v>331</v>
      </c>
      <c r="AF29" s="64">
        <f t="shared" si="11"/>
        <v>5653</v>
      </c>
      <c r="AG29" s="65">
        <f t="shared" si="0"/>
        <v>253</v>
      </c>
      <c r="AH29" s="65"/>
      <c r="AI29" s="65">
        <f t="shared" si="1"/>
        <v>78</v>
      </c>
      <c r="AJ29" s="65">
        <f t="shared" si="12"/>
        <v>4509</v>
      </c>
      <c r="AK29" s="65">
        <f t="shared" si="13"/>
        <v>1144</v>
      </c>
    </row>
    <row r="30" spans="1:37" s="78" customFormat="1" ht="12.75">
      <c r="A30" s="17">
        <v>1991</v>
      </c>
      <c r="B30" s="62">
        <f t="shared" si="2"/>
        <v>80</v>
      </c>
      <c r="C30" s="64">
        <f t="shared" si="5"/>
        <v>1482</v>
      </c>
      <c r="D30" s="65">
        <v>59</v>
      </c>
      <c r="E30" s="65"/>
      <c r="F30" s="65">
        <v>21</v>
      </c>
      <c r="G30" s="65">
        <f t="shared" si="6"/>
        <v>1108</v>
      </c>
      <c r="H30" s="65">
        <f t="shared" si="7"/>
        <v>374</v>
      </c>
      <c r="I30" s="62">
        <f t="shared" si="18"/>
        <v>72</v>
      </c>
      <c r="J30" s="64">
        <f t="shared" si="19"/>
        <v>983</v>
      </c>
      <c r="K30" s="65">
        <v>59</v>
      </c>
      <c r="L30" s="65"/>
      <c r="M30" s="65">
        <v>13</v>
      </c>
      <c r="N30" s="65">
        <f t="shared" si="20"/>
        <v>888</v>
      </c>
      <c r="O30" s="65">
        <f t="shared" si="21"/>
        <v>95</v>
      </c>
      <c r="P30" s="62">
        <f t="shared" si="3"/>
        <v>147</v>
      </c>
      <c r="Q30" s="64">
        <f t="shared" si="8"/>
        <v>2570</v>
      </c>
      <c r="R30" s="65">
        <v>116</v>
      </c>
      <c r="S30" s="65"/>
      <c r="T30" s="65">
        <v>31</v>
      </c>
      <c r="U30" s="65">
        <f t="shared" si="9"/>
        <v>2013</v>
      </c>
      <c r="V30" s="64">
        <f t="shared" si="10"/>
        <v>557</v>
      </c>
      <c r="W30" s="79"/>
      <c r="X30" s="62">
        <f t="shared" si="14"/>
        <v>59</v>
      </c>
      <c r="Y30" s="64">
        <f t="shared" si="15"/>
        <v>976</v>
      </c>
      <c r="Z30" s="65">
        <v>43</v>
      </c>
      <c r="AA30" s="65"/>
      <c r="AB30" s="65">
        <v>16</v>
      </c>
      <c r="AC30" s="65">
        <f t="shared" si="16"/>
        <v>777</v>
      </c>
      <c r="AD30" s="65">
        <f t="shared" si="17"/>
        <v>199</v>
      </c>
      <c r="AE30" s="62">
        <f t="shared" si="4"/>
        <v>358</v>
      </c>
      <c r="AF30" s="64">
        <f t="shared" si="11"/>
        <v>6011</v>
      </c>
      <c r="AG30" s="65">
        <f t="shared" si="0"/>
        <v>277</v>
      </c>
      <c r="AH30" s="65"/>
      <c r="AI30" s="65">
        <f t="shared" si="1"/>
        <v>81</v>
      </c>
      <c r="AJ30" s="65">
        <f t="shared" si="12"/>
        <v>4786</v>
      </c>
      <c r="AK30" s="65">
        <f t="shared" si="13"/>
        <v>1225</v>
      </c>
    </row>
    <row r="31" spans="1:37" s="78" customFormat="1" ht="12.75">
      <c r="A31" s="17">
        <v>1992</v>
      </c>
      <c r="B31" s="62">
        <f t="shared" si="2"/>
        <v>76</v>
      </c>
      <c r="C31" s="64">
        <f t="shared" si="5"/>
        <v>1558</v>
      </c>
      <c r="D31" s="65">
        <v>48</v>
      </c>
      <c r="E31" s="65"/>
      <c r="F31" s="65">
        <v>28</v>
      </c>
      <c r="G31" s="65">
        <f t="shared" si="6"/>
        <v>1156</v>
      </c>
      <c r="H31" s="65">
        <f t="shared" si="7"/>
        <v>402</v>
      </c>
      <c r="I31" s="62">
        <f t="shared" si="18"/>
        <v>64</v>
      </c>
      <c r="J31" s="64">
        <f t="shared" si="19"/>
        <v>1047</v>
      </c>
      <c r="K31" s="65">
        <v>49</v>
      </c>
      <c r="L31" s="65"/>
      <c r="M31" s="65">
        <v>15</v>
      </c>
      <c r="N31" s="65">
        <f t="shared" si="20"/>
        <v>937</v>
      </c>
      <c r="O31" s="65">
        <f t="shared" si="21"/>
        <v>110</v>
      </c>
      <c r="P31" s="62">
        <f t="shared" si="3"/>
        <v>125</v>
      </c>
      <c r="Q31" s="64">
        <f t="shared" si="8"/>
        <v>2695</v>
      </c>
      <c r="R31" s="65">
        <v>101</v>
      </c>
      <c r="S31" s="65"/>
      <c r="T31" s="65">
        <v>24</v>
      </c>
      <c r="U31" s="65">
        <f t="shared" si="9"/>
        <v>2114</v>
      </c>
      <c r="V31" s="64">
        <f t="shared" si="10"/>
        <v>581</v>
      </c>
      <c r="W31" s="79"/>
      <c r="X31" s="62">
        <f t="shared" si="14"/>
        <v>52</v>
      </c>
      <c r="Y31" s="64">
        <f t="shared" si="15"/>
        <v>1028</v>
      </c>
      <c r="Z31" s="65">
        <v>31</v>
      </c>
      <c r="AA31" s="65"/>
      <c r="AB31" s="65">
        <v>21</v>
      </c>
      <c r="AC31" s="65">
        <f t="shared" si="16"/>
        <v>808</v>
      </c>
      <c r="AD31" s="65">
        <f t="shared" si="17"/>
        <v>220</v>
      </c>
      <c r="AE31" s="62">
        <f t="shared" si="4"/>
        <v>317</v>
      </c>
      <c r="AF31" s="64">
        <f t="shared" si="11"/>
        <v>6328</v>
      </c>
      <c r="AG31" s="65">
        <f t="shared" si="0"/>
        <v>229</v>
      </c>
      <c r="AH31" s="65"/>
      <c r="AI31" s="65">
        <f t="shared" si="1"/>
        <v>88</v>
      </c>
      <c r="AJ31" s="65">
        <f t="shared" si="12"/>
        <v>5015</v>
      </c>
      <c r="AK31" s="65">
        <f t="shared" si="13"/>
        <v>1313</v>
      </c>
    </row>
    <row r="32" spans="1:37" s="78" customFormat="1" ht="12.75">
      <c r="A32" s="17">
        <v>1993</v>
      </c>
      <c r="B32" s="62">
        <f t="shared" si="2"/>
        <v>86</v>
      </c>
      <c r="C32" s="64">
        <f t="shared" si="5"/>
        <v>1644</v>
      </c>
      <c r="D32" s="65">
        <v>55</v>
      </c>
      <c r="E32" s="65"/>
      <c r="F32" s="65">
        <v>31</v>
      </c>
      <c r="G32" s="65">
        <f t="shared" si="6"/>
        <v>1211</v>
      </c>
      <c r="H32" s="65">
        <f t="shared" si="7"/>
        <v>433</v>
      </c>
      <c r="I32" s="62">
        <f t="shared" si="18"/>
        <v>75</v>
      </c>
      <c r="J32" s="64">
        <f t="shared" si="19"/>
        <v>1122</v>
      </c>
      <c r="K32" s="65">
        <v>55</v>
      </c>
      <c r="L32" s="65"/>
      <c r="M32" s="65">
        <v>20</v>
      </c>
      <c r="N32" s="65">
        <f t="shared" si="20"/>
        <v>992</v>
      </c>
      <c r="O32" s="65">
        <f t="shared" si="21"/>
        <v>130</v>
      </c>
      <c r="P32" s="62">
        <f t="shared" si="3"/>
        <v>125</v>
      </c>
      <c r="Q32" s="64">
        <f t="shared" si="8"/>
        <v>2820</v>
      </c>
      <c r="R32" s="65">
        <v>90</v>
      </c>
      <c r="S32" s="65"/>
      <c r="T32" s="65">
        <v>35</v>
      </c>
      <c r="U32" s="65">
        <f t="shared" si="9"/>
        <v>2204</v>
      </c>
      <c r="V32" s="64">
        <f t="shared" si="10"/>
        <v>616</v>
      </c>
      <c r="W32" s="79"/>
      <c r="X32" s="62">
        <f t="shared" si="14"/>
        <v>67</v>
      </c>
      <c r="Y32" s="64">
        <f t="shared" si="15"/>
        <v>1095</v>
      </c>
      <c r="Z32" s="65">
        <v>50</v>
      </c>
      <c r="AA32" s="65"/>
      <c r="AB32" s="65">
        <v>17</v>
      </c>
      <c r="AC32" s="65">
        <f t="shared" si="16"/>
        <v>858</v>
      </c>
      <c r="AD32" s="65">
        <f t="shared" si="17"/>
        <v>237</v>
      </c>
      <c r="AE32" s="62">
        <f t="shared" si="4"/>
        <v>353</v>
      </c>
      <c r="AF32" s="64">
        <f t="shared" si="11"/>
        <v>6681</v>
      </c>
      <c r="AG32" s="65">
        <f t="shared" si="0"/>
        <v>250</v>
      </c>
      <c r="AH32" s="65"/>
      <c r="AI32" s="65">
        <f t="shared" si="1"/>
        <v>103</v>
      </c>
      <c r="AJ32" s="65">
        <f t="shared" si="12"/>
        <v>5265</v>
      </c>
      <c r="AK32" s="65">
        <f t="shared" si="13"/>
        <v>1416</v>
      </c>
    </row>
    <row r="33" spans="1:37" s="78" customFormat="1" ht="12.75">
      <c r="A33" s="17">
        <v>1994</v>
      </c>
      <c r="B33" s="62">
        <f t="shared" si="2"/>
        <v>76</v>
      </c>
      <c r="C33" s="64">
        <f t="shared" si="5"/>
        <v>1720</v>
      </c>
      <c r="D33" s="65">
        <v>49</v>
      </c>
      <c r="E33" s="65"/>
      <c r="F33" s="65">
        <v>27</v>
      </c>
      <c r="G33" s="65">
        <f t="shared" si="6"/>
        <v>1260</v>
      </c>
      <c r="H33" s="65">
        <f t="shared" si="7"/>
        <v>460</v>
      </c>
      <c r="I33" s="62">
        <f t="shared" si="18"/>
        <v>59</v>
      </c>
      <c r="J33" s="64">
        <f t="shared" si="19"/>
        <v>1181</v>
      </c>
      <c r="K33" s="65">
        <v>45</v>
      </c>
      <c r="L33" s="65"/>
      <c r="M33" s="65">
        <v>14</v>
      </c>
      <c r="N33" s="65">
        <f t="shared" si="20"/>
        <v>1037</v>
      </c>
      <c r="O33" s="65">
        <f t="shared" si="21"/>
        <v>144</v>
      </c>
      <c r="P33" s="62">
        <f t="shared" si="3"/>
        <v>131</v>
      </c>
      <c r="Q33" s="64">
        <f t="shared" si="8"/>
        <v>2951</v>
      </c>
      <c r="R33" s="65">
        <v>96</v>
      </c>
      <c r="S33" s="65"/>
      <c r="T33" s="65">
        <v>35</v>
      </c>
      <c r="U33" s="65">
        <f t="shared" si="9"/>
        <v>2300</v>
      </c>
      <c r="V33" s="64">
        <f t="shared" si="10"/>
        <v>651</v>
      </c>
      <c r="W33" s="79"/>
      <c r="X33" s="62">
        <f t="shared" si="14"/>
        <v>56</v>
      </c>
      <c r="Y33" s="64">
        <f t="shared" si="15"/>
        <v>1151</v>
      </c>
      <c r="Z33" s="65">
        <v>42</v>
      </c>
      <c r="AA33" s="65"/>
      <c r="AB33" s="65">
        <v>14</v>
      </c>
      <c r="AC33" s="65">
        <f t="shared" si="16"/>
        <v>900</v>
      </c>
      <c r="AD33" s="65">
        <f t="shared" si="17"/>
        <v>251</v>
      </c>
      <c r="AE33" s="62">
        <f t="shared" si="4"/>
        <v>322</v>
      </c>
      <c r="AF33" s="64">
        <f t="shared" si="11"/>
        <v>7003</v>
      </c>
      <c r="AG33" s="65">
        <f t="shared" si="0"/>
        <v>232</v>
      </c>
      <c r="AH33" s="65"/>
      <c r="AI33" s="65">
        <f t="shared" si="1"/>
        <v>90</v>
      </c>
      <c r="AJ33" s="65">
        <f t="shared" si="12"/>
        <v>5497</v>
      </c>
      <c r="AK33" s="65">
        <f t="shared" si="13"/>
        <v>1506</v>
      </c>
    </row>
    <row r="34" spans="1:37" s="78" customFormat="1" ht="12.75">
      <c r="A34" s="17">
        <v>1995</v>
      </c>
      <c r="B34" s="62">
        <f t="shared" si="2"/>
        <v>62</v>
      </c>
      <c r="C34" s="64">
        <f t="shared" si="5"/>
        <v>1782</v>
      </c>
      <c r="D34" s="65">
        <v>40</v>
      </c>
      <c r="E34" s="65"/>
      <c r="F34" s="65">
        <v>22</v>
      </c>
      <c r="G34" s="65">
        <f t="shared" si="6"/>
        <v>1300</v>
      </c>
      <c r="H34" s="65">
        <f t="shared" si="7"/>
        <v>482</v>
      </c>
      <c r="I34" s="62">
        <f t="shared" si="18"/>
        <v>58</v>
      </c>
      <c r="J34" s="64">
        <f t="shared" si="19"/>
        <v>1239</v>
      </c>
      <c r="K34" s="65">
        <v>37</v>
      </c>
      <c r="L34" s="65"/>
      <c r="M34" s="65">
        <v>21</v>
      </c>
      <c r="N34" s="65">
        <f t="shared" si="20"/>
        <v>1074</v>
      </c>
      <c r="O34" s="65">
        <f t="shared" si="21"/>
        <v>165</v>
      </c>
      <c r="P34" s="62">
        <f t="shared" si="3"/>
        <v>101</v>
      </c>
      <c r="Q34" s="64">
        <f t="shared" si="8"/>
        <v>3052</v>
      </c>
      <c r="R34" s="65">
        <v>82</v>
      </c>
      <c r="S34" s="65"/>
      <c r="T34" s="65">
        <v>19</v>
      </c>
      <c r="U34" s="65">
        <f t="shared" si="9"/>
        <v>2382</v>
      </c>
      <c r="V34" s="64">
        <f t="shared" si="10"/>
        <v>670</v>
      </c>
      <c r="W34" s="79"/>
      <c r="X34" s="62">
        <f t="shared" si="14"/>
        <v>62</v>
      </c>
      <c r="Y34" s="64">
        <f t="shared" si="15"/>
        <v>1213</v>
      </c>
      <c r="Z34" s="65">
        <v>44</v>
      </c>
      <c r="AA34" s="65"/>
      <c r="AB34" s="65">
        <v>18</v>
      </c>
      <c r="AC34" s="65">
        <f t="shared" si="16"/>
        <v>944</v>
      </c>
      <c r="AD34" s="65">
        <f t="shared" si="17"/>
        <v>269</v>
      </c>
      <c r="AE34" s="62">
        <f t="shared" si="4"/>
        <v>283</v>
      </c>
      <c r="AF34" s="64">
        <f t="shared" si="11"/>
        <v>7286</v>
      </c>
      <c r="AG34" s="65">
        <f t="shared" si="0"/>
        <v>203</v>
      </c>
      <c r="AH34" s="65"/>
      <c r="AI34" s="65">
        <f t="shared" si="1"/>
        <v>80</v>
      </c>
      <c r="AJ34" s="65">
        <f t="shared" si="12"/>
        <v>5700</v>
      </c>
      <c r="AK34" s="65">
        <f t="shared" si="13"/>
        <v>1586</v>
      </c>
    </row>
    <row r="35" spans="1:37" s="78" customFormat="1" ht="12.75">
      <c r="A35" s="17">
        <v>1996</v>
      </c>
      <c r="B35" s="62">
        <f t="shared" si="2"/>
        <v>76</v>
      </c>
      <c r="C35" s="64">
        <f t="shared" si="5"/>
        <v>1858</v>
      </c>
      <c r="D35" s="65">
        <v>45</v>
      </c>
      <c r="E35" s="65"/>
      <c r="F35" s="65">
        <v>31</v>
      </c>
      <c r="G35" s="65">
        <f t="shared" si="6"/>
        <v>1345</v>
      </c>
      <c r="H35" s="65">
        <f t="shared" si="7"/>
        <v>513</v>
      </c>
      <c r="I35" s="62">
        <f t="shared" si="18"/>
        <v>71</v>
      </c>
      <c r="J35" s="64">
        <f t="shared" si="19"/>
        <v>1310</v>
      </c>
      <c r="K35" s="65">
        <v>46</v>
      </c>
      <c r="L35" s="65"/>
      <c r="M35" s="65">
        <v>25</v>
      </c>
      <c r="N35" s="65">
        <f t="shared" si="20"/>
        <v>1120</v>
      </c>
      <c r="O35" s="65">
        <f t="shared" si="21"/>
        <v>190</v>
      </c>
      <c r="P35" s="62">
        <f t="shared" si="3"/>
        <v>116</v>
      </c>
      <c r="Q35" s="64">
        <f t="shared" si="8"/>
        <v>3168</v>
      </c>
      <c r="R35" s="65">
        <v>90</v>
      </c>
      <c r="S35" s="65"/>
      <c r="T35" s="65">
        <v>26</v>
      </c>
      <c r="U35" s="65">
        <f t="shared" si="9"/>
        <v>2472</v>
      </c>
      <c r="V35" s="64">
        <f t="shared" si="10"/>
        <v>696</v>
      </c>
      <c r="W35" s="79"/>
      <c r="X35" s="62">
        <f t="shared" si="14"/>
        <v>45</v>
      </c>
      <c r="Y35" s="64">
        <f t="shared" si="15"/>
        <v>1258</v>
      </c>
      <c r="Z35" s="65">
        <v>28</v>
      </c>
      <c r="AA35" s="65"/>
      <c r="AB35" s="65">
        <v>17</v>
      </c>
      <c r="AC35" s="65">
        <f t="shared" si="16"/>
        <v>972</v>
      </c>
      <c r="AD35" s="65">
        <f t="shared" si="17"/>
        <v>286</v>
      </c>
      <c r="AE35" s="62">
        <f t="shared" si="4"/>
        <v>308</v>
      </c>
      <c r="AF35" s="64">
        <f t="shared" si="11"/>
        <v>7594</v>
      </c>
      <c r="AG35" s="65">
        <f t="shared" si="0"/>
        <v>209</v>
      </c>
      <c r="AH35" s="65"/>
      <c r="AI35" s="65">
        <f t="shared" si="1"/>
        <v>99</v>
      </c>
      <c r="AJ35" s="65">
        <f t="shared" si="12"/>
        <v>5909</v>
      </c>
      <c r="AK35" s="65">
        <f t="shared" si="13"/>
        <v>1685</v>
      </c>
    </row>
    <row r="36" spans="1:37" s="78" customFormat="1" ht="12.75">
      <c r="A36" s="17">
        <v>1997</v>
      </c>
      <c r="B36" s="62">
        <f t="shared" si="2"/>
        <v>89</v>
      </c>
      <c r="C36" s="64">
        <f t="shared" si="5"/>
        <v>1947</v>
      </c>
      <c r="D36" s="65">
        <v>57</v>
      </c>
      <c r="E36" s="65"/>
      <c r="F36" s="65">
        <v>32</v>
      </c>
      <c r="G36" s="65">
        <f t="shared" si="6"/>
        <v>1402</v>
      </c>
      <c r="H36" s="65">
        <f t="shared" si="7"/>
        <v>545</v>
      </c>
      <c r="I36" s="62">
        <f t="shared" si="18"/>
        <v>62</v>
      </c>
      <c r="J36" s="64">
        <f t="shared" si="19"/>
        <v>1372</v>
      </c>
      <c r="K36" s="65">
        <v>45</v>
      </c>
      <c r="L36" s="65"/>
      <c r="M36" s="65">
        <v>17</v>
      </c>
      <c r="N36" s="65">
        <f t="shared" si="20"/>
        <v>1165</v>
      </c>
      <c r="O36" s="65">
        <f t="shared" si="21"/>
        <v>207</v>
      </c>
      <c r="P36" s="62">
        <f t="shared" si="3"/>
        <v>128</v>
      </c>
      <c r="Q36" s="64">
        <f t="shared" si="8"/>
        <v>3296</v>
      </c>
      <c r="R36" s="65">
        <v>76</v>
      </c>
      <c r="S36" s="65"/>
      <c r="T36" s="65">
        <v>52</v>
      </c>
      <c r="U36" s="65">
        <f t="shared" si="9"/>
        <v>2548</v>
      </c>
      <c r="V36" s="64">
        <f t="shared" si="10"/>
        <v>748</v>
      </c>
      <c r="W36" s="79"/>
      <c r="X36" s="62">
        <f t="shared" si="14"/>
        <v>57</v>
      </c>
      <c r="Y36" s="64">
        <f t="shared" si="15"/>
        <v>1315</v>
      </c>
      <c r="Z36" s="65">
        <v>35</v>
      </c>
      <c r="AA36" s="65"/>
      <c r="AB36" s="65">
        <v>22</v>
      </c>
      <c r="AC36" s="65">
        <f t="shared" si="16"/>
        <v>1007</v>
      </c>
      <c r="AD36" s="65">
        <f t="shared" si="17"/>
        <v>308</v>
      </c>
      <c r="AE36" s="62">
        <f t="shared" si="4"/>
        <v>336</v>
      </c>
      <c r="AF36" s="64">
        <f t="shared" si="11"/>
        <v>7930</v>
      </c>
      <c r="AG36" s="65">
        <f t="shared" si="0"/>
        <v>213</v>
      </c>
      <c r="AH36" s="65"/>
      <c r="AI36" s="65">
        <f t="shared" si="1"/>
        <v>123</v>
      </c>
      <c r="AJ36" s="65">
        <f t="shared" si="12"/>
        <v>6122</v>
      </c>
      <c r="AK36" s="65">
        <f t="shared" si="13"/>
        <v>1808</v>
      </c>
    </row>
    <row r="37" spans="1:37" s="78" customFormat="1" ht="12.75">
      <c r="A37" s="17">
        <v>1998</v>
      </c>
      <c r="B37" s="62">
        <f t="shared" si="2"/>
        <v>82</v>
      </c>
      <c r="C37" s="64">
        <f t="shared" si="5"/>
        <v>2029</v>
      </c>
      <c r="D37" s="65">
        <v>48</v>
      </c>
      <c r="E37" s="65"/>
      <c r="F37" s="65">
        <v>34</v>
      </c>
      <c r="G37" s="65">
        <f t="shared" si="6"/>
        <v>1450</v>
      </c>
      <c r="H37" s="65">
        <f t="shared" si="7"/>
        <v>579</v>
      </c>
      <c r="I37" s="62">
        <f t="shared" si="18"/>
        <v>76</v>
      </c>
      <c r="J37" s="64">
        <f t="shared" si="19"/>
        <v>1448</v>
      </c>
      <c r="K37" s="65">
        <v>47</v>
      </c>
      <c r="L37" s="65"/>
      <c r="M37" s="65">
        <v>29</v>
      </c>
      <c r="N37" s="65">
        <f t="shared" si="20"/>
        <v>1212</v>
      </c>
      <c r="O37" s="65">
        <f t="shared" si="21"/>
        <v>236</v>
      </c>
      <c r="P37" s="62">
        <f t="shared" si="3"/>
        <v>146</v>
      </c>
      <c r="Q37" s="64">
        <f t="shared" si="8"/>
        <v>3442</v>
      </c>
      <c r="R37" s="65">
        <v>112</v>
      </c>
      <c r="S37" s="65"/>
      <c r="T37" s="65">
        <v>34</v>
      </c>
      <c r="U37" s="65">
        <f t="shared" si="9"/>
        <v>2660</v>
      </c>
      <c r="V37" s="64">
        <f t="shared" si="10"/>
        <v>782</v>
      </c>
      <c r="W37" s="79"/>
      <c r="X37" s="62">
        <f t="shared" si="14"/>
        <v>53</v>
      </c>
      <c r="Y37" s="64">
        <f t="shared" si="15"/>
        <v>1368</v>
      </c>
      <c r="Z37" s="65">
        <v>30</v>
      </c>
      <c r="AA37" s="65"/>
      <c r="AB37" s="65">
        <v>23</v>
      </c>
      <c r="AC37" s="65">
        <f t="shared" si="16"/>
        <v>1037</v>
      </c>
      <c r="AD37" s="65">
        <f t="shared" si="17"/>
        <v>331</v>
      </c>
      <c r="AE37" s="62">
        <f t="shared" si="4"/>
        <v>357</v>
      </c>
      <c r="AF37" s="64">
        <f t="shared" si="11"/>
        <v>8287</v>
      </c>
      <c r="AG37" s="65">
        <f t="shared" si="0"/>
        <v>237</v>
      </c>
      <c r="AH37" s="65"/>
      <c r="AI37" s="65">
        <f t="shared" si="1"/>
        <v>120</v>
      </c>
      <c r="AJ37" s="65">
        <f t="shared" si="12"/>
        <v>6359</v>
      </c>
      <c r="AK37" s="65">
        <f t="shared" si="13"/>
        <v>1928</v>
      </c>
    </row>
    <row r="38" spans="1:37" s="78" customFormat="1" ht="12.75">
      <c r="A38" s="18">
        <v>1999</v>
      </c>
      <c r="B38" s="66">
        <f t="shared" si="2"/>
        <v>59</v>
      </c>
      <c r="C38" s="68">
        <f t="shared" si="5"/>
        <v>2088</v>
      </c>
      <c r="D38" s="69">
        <v>36</v>
      </c>
      <c r="E38" s="69"/>
      <c r="F38" s="69">
        <v>23</v>
      </c>
      <c r="G38" s="69">
        <f t="shared" si="6"/>
        <v>1486</v>
      </c>
      <c r="H38" s="69">
        <f t="shared" si="7"/>
        <v>602</v>
      </c>
      <c r="I38" s="66">
        <f t="shared" si="18"/>
        <v>51</v>
      </c>
      <c r="J38" s="68">
        <f t="shared" si="19"/>
        <v>1499</v>
      </c>
      <c r="K38" s="69">
        <v>31</v>
      </c>
      <c r="L38" s="69"/>
      <c r="M38" s="69">
        <v>20</v>
      </c>
      <c r="N38" s="69">
        <f t="shared" si="20"/>
        <v>1243</v>
      </c>
      <c r="O38" s="69">
        <f t="shared" si="21"/>
        <v>256</v>
      </c>
      <c r="P38" s="66">
        <f t="shared" si="3"/>
        <v>128</v>
      </c>
      <c r="Q38" s="68">
        <f t="shared" si="8"/>
        <v>3570</v>
      </c>
      <c r="R38" s="69">
        <v>82</v>
      </c>
      <c r="S38" s="69"/>
      <c r="T38" s="69">
        <v>46</v>
      </c>
      <c r="U38" s="69">
        <f t="shared" si="9"/>
        <v>2742</v>
      </c>
      <c r="V38" s="68">
        <f t="shared" si="10"/>
        <v>828</v>
      </c>
      <c r="W38" s="80"/>
      <c r="X38" s="66">
        <f t="shared" si="14"/>
        <v>63</v>
      </c>
      <c r="Y38" s="68">
        <f t="shared" si="15"/>
        <v>1431</v>
      </c>
      <c r="Z38" s="69">
        <v>47</v>
      </c>
      <c r="AA38" s="69"/>
      <c r="AB38" s="69">
        <v>16</v>
      </c>
      <c r="AC38" s="69">
        <f t="shared" si="16"/>
        <v>1084</v>
      </c>
      <c r="AD38" s="69">
        <f t="shared" si="17"/>
        <v>347</v>
      </c>
      <c r="AE38" s="66">
        <f t="shared" si="4"/>
        <v>301</v>
      </c>
      <c r="AF38" s="68">
        <f t="shared" si="11"/>
        <v>8588</v>
      </c>
      <c r="AG38" s="69">
        <f t="shared" si="0"/>
        <v>196</v>
      </c>
      <c r="AH38" s="69"/>
      <c r="AI38" s="69">
        <f t="shared" si="1"/>
        <v>105</v>
      </c>
      <c r="AJ38" s="69">
        <f t="shared" si="12"/>
        <v>6555</v>
      </c>
      <c r="AK38" s="69">
        <f t="shared" si="13"/>
        <v>2033</v>
      </c>
    </row>
    <row r="39" spans="1:37" s="81" customFormat="1" ht="18.75" customHeight="1">
      <c r="A39" s="17">
        <v>2000</v>
      </c>
      <c r="B39" s="62">
        <f t="shared" si="2"/>
        <v>66</v>
      </c>
      <c r="C39" s="64">
        <f t="shared" si="5"/>
        <v>2154</v>
      </c>
      <c r="D39" s="65">
        <v>42</v>
      </c>
      <c r="E39" s="65"/>
      <c r="F39" s="65">
        <v>24</v>
      </c>
      <c r="G39" s="65">
        <f t="shared" si="6"/>
        <v>1528</v>
      </c>
      <c r="H39" s="65">
        <f t="shared" si="7"/>
        <v>626</v>
      </c>
      <c r="I39" s="62">
        <f t="shared" si="18"/>
        <v>66</v>
      </c>
      <c r="J39" s="64">
        <f t="shared" si="19"/>
        <v>1565</v>
      </c>
      <c r="K39" s="65">
        <v>49</v>
      </c>
      <c r="L39" s="65"/>
      <c r="M39" s="65">
        <v>17</v>
      </c>
      <c r="N39" s="65">
        <f t="shared" si="20"/>
        <v>1292</v>
      </c>
      <c r="O39" s="65">
        <f t="shared" si="21"/>
        <v>273</v>
      </c>
      <c r="P39" s="62">
        <f t="shared" si="3"/>
        <v>106</v>
      </c>
      <c r="Q39" s="64">
        <f t="shared" si="8"/>
        <v>3676</v>
      </c>
      <c r="R39" s="65">
        <v>69</v>
      </c>
      <c r="S39" s="65"/>
      <c r="T39" s="65">
        <v>37</v>
      </c>
      <c r="U39" s="65">
        <f t="shared" si="9"/>
        <v>2811</v>
      </c>
      <c r="V39" s="64">
        <f t="shared" si="10"/>
        <v>865</v>
      </c>
      <c r="W39" s="79"/>
      <c r="X39" s="62">
        <f t="shared" si="14"/>
        <v>45</v>
      </c>
      <c r="Y39" s="64">
        <f t="shared" si="15"/>
        <v>1476</v>
      </c>
      <c r="Z39" s="65">
        <v>33</v>
      </c>
      <c r="AA39" s="65"/>
      <c r="AB39" s="65">
        <v>12</v>
      </c>
      <c r="AC39" s="65">
        <f t="shared" si="16"/>
        <v>1117</v>
      </c>
      <c r="AD39" s="65">
        <f t="shared" si="17"/>
        <v>359</v>
      </c>
      <c r="AE39" s="62">
        <f t="shared" si="4"/>
        <v>283</v>
      </c>
      <c r="AF39" s="64">
        <f t="shared" si="11"/>
        <v>8871</v>
      </c>
      <c r="AG39" s="65">
        <f t="shared" si="0"/>
        <v>193</v>
      </c>
      <c r="AH39" s="65"/>
      <c r="AI39" s="65">
        <f t="shared" si="1"/>
        <v>90</v>
      </c>
      <c r="AJ39" s="65">
        <f t="shared" si="12"/>
        <v>6748</v>
      </c>
      <c r="AK39" s="65">
        <f t="shared" si="13"/>
        <v>2123</v>
      </c>
    </row>
    <row r="40" spans="1:37" s="78" customFormat="1" ht="12.75">
      <c r="A40" s="17">
        <v>2001</v>
      </c>
      <c r="B40" s="62">
        <f t="shared" si="2"/>
        <v>71</v>
      </c>
      <c r="C40" s="64">
        <f t="shared" si="5"/>
        <v>2225</v>
      </c>
      <c r="D40" s="65">
        <v>39</v>
      </c>
      <c r="E40" s="65"/>
      <c r="F40" s="65">
        <v>32</v>
      </c>
      <c r="G40" s="65">
        <f t="shared" si="6"/>
        <v>1567</v>
      </c>
      <c r="H40" s="65">
        <f t="shared" si="7"/>
        <v>658</v>
      </c>
      <c r="I40" s="62">
        <f t="shared" si="18"/>
        <v>71</v>
      </c>
      <c r="J40" s="64">
        <f t="shared" si="19"/>
        <v>1636</v>
      </c>
      <c r="K40" s="65">
        <v>52</v>
      </c>
      <c r="L40" s="65"/>
      <c r="M40" s="65">
        <v>19</v>
      </c>
      <c r="N40" s="65">
        <f t="shared" si="20"/>
        <v>1344</v>
      </c>
      <c r="O40" s="65">
        <f t="shared" si="21"/>
        <v>292</v>
      </c>
      <c r="P40" s="62">
        <f t="shared" si="3"/>
        <v>108</v>
      </c>
      <c r="Q40" s="64">
        <f t="shared" si="8"/>
        <v>3784</v>
      </c>
      <c r="R40" s="65">
        <v>66</v>
      </c>
      <c r="S40" s="65"/>
      <c r="T40" s="65">
        <v>42</v>
      </c>
      <c r="U40" s="65">
        <f t="shared" si="9"/>
        <v>2877</v>
      </c>
      <c r="V40" s="64">
        <f t="shared" si="10"/>
        <v>907</v>
      </c>
      <c r="W40" s="79"/>
      <c r="X40" s="62">
        <f t="shared" si="14"/>
        <v>55</v>
      </c>
      <c r="Y40" s="64">
        <f t="shared" si="15"/>
        <v>1531</v>
      </c>
      <c r="Z40" s="65">
        <v>30</v>
      </c>
      <c r="AA40" s="65"/>
      <c r="AB40" s="65">
        <v>25</v>
      </c>
      <c r="AC40" s="65">
        <f t="shared" si="16"/>
        <v>1147</v>
      </c>
      <c r="AD40" s="65">
        <f t="shared" si="17"/>
        <v>384</v>
      </c>
      <c r="AE40" s="62">
        <f t="shared" si="4"/>
        <v>305</v>
      </c>
      <c r="AF40" s="64">
        <f t="shared" si="11"/>
        <v>9176</v>
      </c>
      <c r="AG40" s="65">
        <f t="shared" si="0"/>
        <v>187</v>
      </c>
      <c r="AH40" s="65"/>
      <c r="AI40" s="65">
        <f t="shared" si="1"/>
        <v>118</v>
      </c>
      <c r="AJ40" s="65">
        <f t="shared" si="12"/>
        <v>6935</v>
      </c>
      <c r="AK40" s="65">
        <f t="shared" si="13"/>
        <v>2241</v>
      </c>
    </row>
    <row r="41" spans="1:37" s="78" customFormat="1" ht="12.75">
      <c r="A41" s="17">
        <v>2002</v>
      </c>
      <c r="B41" s="62">
        <f t="shared" si="2"/>
        <v>79</v>
      </c>
      <c r="C41" s="64">
        <f t="shared" si="5"/>
        <v>2304</v>
      </c>
      <c r="D41" s="65">
        <v>43</v>
      </c>
      <c r="E41" s="65"/>
      <c r="F41" s="65">
        <v>36</v>
      </c>
      <c r="G41" s="65">
        <f t="shared" si="6"/>
        <v>1610</v>
      </c>
      <c r="H41" s="65">
        <f t="shared" si="7"/>
        <v>694</v>
      </c>
      <c r="I41" s="62">
        <f t="shared" si="18"/>
        <v>59</v>
      </c>
      <c r="J41" s="64">
        <f t="shared" si="19"/>
        <v>1695</v>
      </c>
      <c r="K41" s="65">
        <v>38</v>
      </c>
      <c r="L41" s="65"/>
      <c r="M41" s="65">
        <v>21</v>
      </c>
      <c r="N41" s="65">
        <f t="shared" si="20"/>
        <v>1382</v>
      </c>
      <c r="O41" s="65">
        <f t="shared" si="21"/>
        <v>313</v>
      </c>
      <c r="P41" s="62">
        <f t="shared" si="3"/>
        <v>111</v>
      </c>
      <c r="Q41" s="64">
        <f t="shared" si="8"/>
        <v>3895</v>
      </c>
      <c r="R41" s="65">
        <v>75</v>
      </c>
      <c r="S41" s="65"/>
      <c r="T41" s="65">
        <v>36</v>
      </c>
      <c r="U41" s="65">
        <f t="shared" si="9"/>
        <v>2952</v>
      </c>
      <c r="V41" s="64">
        <f t="shared" si="10"/>
        <v>943</v>
      </c>
      <c r="W41" s="79"/>
      <c r="X41" s="62">
        <f t="shared" si="14"/>
        <v>59</v>
      </c>
      <c r="Y41" s="64">
        <f t="shared" si="15"/>
        <v>1590</v>
      </c>
      <c r="Z41" s="65">
        <v>38</v>
      </c>
      <c r="AA41" s="65"/>
      <c r="AB41" s="65">
        <v>21</v>
      </c>
      <c r="AC41" s="65">
        <f t="shared" si="16"/>
        <v>1185</v>
      </c>
      <c r="AD41" s="65">
        <f t="shared" si="17"/>
        <v>405</v>
      </c>
      <c r="AE41" s="62">
        <f t="shared" si="4"/>
        <v>308</v>
      </c>
      <c r="AF41" s="64">
        <f t="shared" si="11"/>
        <v>9484</v>
      </c>
      <c r="AG41" s="65">
        <f t="shared" si="0"/>
        <v>194</v>
      </c>
      <c r="AH41" s="65"/>
      <c r="AI41" s="65">
        <f t="shared" si="1"/>
        <v>114</v>
      </c>
      <c r="AJ41" s="65">
        <f t="shared" si="12"/>
        <v>7129</v>
      </c>
      <c r="AK41" s="65">
        <f t="shared" si="13"/>
        <v>2355</v>
      </c>
    </row>
    <row r="42" spans="1:37" s="78" customFormat="1" ht="12.75">
      <c r="A42" s="17">
        <v>2003</v>
      </c>
      <c r="B42" s="62">
        <f t="shared" si="2"/>
        <v>80</v>
      </c>
      <c r="C42" s="64">
        <f t="shared" si="5"/>
        <v>2384</v>
      </c>
      <c r="D42" s="65">
        <v>43</v>
      </c>
      <c r="E42" s="65"/>
      <c r="F42" s="65">
        <v>37</v>
      </c>
      <c r="G42" s="65">
        <f t="shared" si="6"/>
        <v>1653</v>
      </c>
      <c r="H42" s="65">
        <f t="shared" si="7"/>
        <v>731</v>
      </c>
      <c r="I42" s="62">
        <f t="shared" si="18"/>
        <v>72</v>
      </c>
      <c r="J42" s="64">
        <f t="shared" si="19"/>
        <v>1767</v>
      </c>
      <c r="K42" s="65">
        <v>49</v>
      </c>
      <c r="L42" s="65"/>
      <c r="M42" s="65">
        <v>23</v>
      </c>
      <c r="N42" s="65">
        <f t="shared" si="20"/>
        <v>1431</v>
      </c>
      <c r="O42" s="65">
        <f t="shared" si="21"/>
        <v>336</v>
      </c>
      <c r="P42" s="62">
        <f t="shared" si="3"/>
        <v>129</v>
      </c>
      <c r="Q42" s="64">
        <f t="shared" si="8"/>
        <v>4024</v>
      </c>
      <c r="R42" s="65">
        <v>86</v>
      </c>
      <c r="S42" s="65"/>
      <c r="T42" s="65">
        <v>43</v>
      </c>
      <c r="U42" s="65">
        <f t="shared" si="9"/>
        <v>3038</v>
      </c>
      <c r="V42" s="64">
        <f t="shared" si="10"/>
        <v>986</v>
      </c>
      <c r="W42" s="79"/>
      <c r="X42" s="62">
        <f t="shared" si="14"/>
        <v>64</v>
      </c>
      <c r="Y42" s="64">
        <f t="shared" si="15"/>
        <v>1654</v>
      </c>
      <c r="Z42" s="65">
        <v>37</v>
      </c>
      <c r="AA42" s="65"/>
      <c r="AB42" s="65">
        <v>27</v>
      </c>
      <c r="AC42" s="65">
        <f t="shared" si="16"/>
        <v>1222</v>
      </c>
      <c r="AD42" s="65">
        <f t="shared" si="17"/>
        <v>432</v>
      </c>
      <c r="AE42" s="62">
        <f t="shared" si="4"/>
        <v>345</v>
      </c>
      <c r="AF42" s="64">
        <f t="shared" si="11"/>
        <v>9829</v>
      </c>
      <c r="AG42" s="65">
        <f t="shared" si="0"/>
        <v>215</v>
      </c>
      <c r="AH42" s="65"/>
      <c r="AI42" s="65">
        <f t="shared" si="1"/>
        <v>130</v>
      </c>
      <c r="AJ42" s="65">
        <f t="shared" si="12"/>
        <v>7344</v>
      </c>
      <c r="AK42" s="65">
        <f t="shared" si="13"/>
        <v>2485</v>
      </c>
    </row>
    <row r="43" spans="1:37" s="78" customFormat="1" ht="12.75">
      <c r="A43" s="17">
        <v>2004</v>
      </c>
      <c r="B43" s="62">
        <f t="shared" si="2"/>
        <v>82</v>
      </c>
      <c r="C43" s="64">
        <f t="shared" si="5"/>
        <v>2466</v>
      </c>
      <c r="D43" s="142">
        <v>51</v>
      </c>
      <c r="E43" s="142"/>
      <c r="F43" s="142">
        <v>31</v>
      </c>
      <c r="G43" s="142">
        <f t="shared" si="6"/>
        <v>1704</v>
      </c>
      <c r="H43" s="142">
        <f t="shared" si="7"/>
        <v>762</v>
      </c>
      <c r="I43" s="62">
        <f t="shared" si="18"/>
        <v>92</v>
      </c>
      <c r="J43" s="64">
        <f t="shared" si="19"/>
        <v>1859</v>
      </c>
      <c r="K43" s="142">
        <v>60</v>
      </c>
      <c r="L43" s="142"/>
      <c r="M43" s="142">
        <v>32</v>
      </c>
      <c r="N43" s="65">
        <f t="shared" si="20"/>
        <v>1491</v>
      </c>
      <c r="O43" s="65">
        <f t="shared" si="21"/>
        <v>368</v>
      </c>
      <c r="P43" s="62">
        <f t="shared" si="3"/>
        <v>148</v>
      </c>
      <c r="Q43" s="64">
        <f t="shared" si="8"/>
        <v>4172</v>
      </c>
      <c r="R43" s="65">
        <v>92</v>
      </c>
      <c r="S43" s="65"/>
      <c r="T43" s="65">
        <v>56</v>
      </c>
      <c r="U43" s="65">
        <f t="shared" si="9"/>
        <v>3130</v>
      </c>
      <c r="V43" s="64">
        <f t="shared" si="10"/>
        <v>1042</v>
      </c>
      <c r="W43" s="79"/>
      <c r="X43" s="62">
        <f t="shared" si="14"/>
        <v>50</v>
      </c>
      <c r="Y43" s="64">
        <f t="shared" si="15"/>
        <v>1704</v>
      </c>
      <c r="Z43" s="65">
        <v>27</v>
      </c>
      <c r="AA43" s="65"/>
      <c r="AB43" s="65">
        <v>23</v>
      </c>
      <c r="AC43" s="65">
        <f t="shared" si="16"/>
        <v>1249</v>
      </c>
      <c r="AD43" s="65">
        <f t="shared" si="17"/>
        <v>455</v>
      </c>
      <c r="AE43" s="62">
        <f t="shared" si="4"/>
        <v>372</v>
      </c>
      <c r="AF43" s="140">
        <f t="shared" si="11"/>
        <v>10201</v>
      </c>
      <c r="AG43" s="65">
        <f t="shared" si="0"/>
        <v>230</v>
      </c>
      <c r="AH43" s="65"/>
      <c r="AI43" s="65">
        <f t="shared" si="1"/>
        <v>142</v>
      </c>
      <c r="AJ43" s="65">
        <f t="shared" si="12"/>
        <v>7574</v>
      </c>
      <c r="AK43" s="65">
        <f t="shared" si="13"/>
        <v>2627</v>
      </c>
    </row>
    <row r="44" spans="1:37" s="78" customFormat="1" ht="12.75">
      <c r="A44" s="17">
        <v>2005</v>
      </c>
      <c r="B44" s="62">
        <f t="shared" si="2"/>
        <v>70</v>
      </c>
      <c r="C44" s="64">
        <f t="shared" si="5"/>
        <v>2536</v>
      </c>
      <c r="D44" s="65">
        <f>7+5+7+14</f>
        <v>33</v>
      </c>
      <c r="E44" s="65"/>
      <c r="F44" s="65">
        <f>13+8+8+8</f>
        <v>37</v>
      </c>
      <c r="G44" s="142">
        <f aca="true" t="shared" si="22" ref="G44:G55">G43+D44</f>
        <v>1737</v>
      </c>
      <c r="H44" s="142">
        <f aca="true" t="shared" si="23" ref="H44:H56">H43+F44</f>
        <v>799</v>
      </c>
      <c r="I44" s="62">
        <f aca="true" t="shared" si="24" ref="I44:I49">K44+M44</f>
        <v>97</v>
      </c>
      <c r="J44" s="64">
        <f aca="true" t="shared" si="25" ref="J44:J49">J43+I44</f>
        <v>1956</v>
      </c>
      <c r="K44" s="73">
        <f>15+16+7+16</f>
        <v>54</v>
      </c>
      <c r="L44" s="73"/>
      <c r="M44" s="73">
        <f>12+12+4+15</f>
        <v>43</v>
      </c>
      <c r="N44" s="65">
        <f aca="true" t="shared" si="26" ref="N44:N55">N43+K44</f>
        <v>1545</v>
      </c>
      <c r="O44" s="65">
        <f aca="true" t="shared" si="27" ref="O44:O56">O43+M44</f>
        <v>411</v>
      </c>
      <c r="P44" s="62">
        <f t="shared" si="3"/>
        <v>167</v>
      </c>
      <c r="Q44" s="64">
        <f aca="true" t="shared" si="28" ref="Q44:Q49">Q43+P44</f>
        <v>4339</v>
      </c>
      <c r="R44" s="73">
        <f>23+28+15+33</f>
        <v>99</v>
      </c>
      <c r="S44" s="73"/>
      <c r="T44" s="152">
        <f>22+22+13+11</f>
        <v>68</v>
      </c>
      <c r="U44" s="65">
        <f aca="true" t="shared" si="29" ref="U44:U55">U43+R44</f>
        <v>3229</v>
      </c>
      <c r="V44" s="64">
        <f aca="true" t="shared" si="30" ref="V44:V56">V43+T44</f>
        <v>1110</v>
      </c>
      <c r="W44" s="84"/>
      <c r="X44" s="151">
        <f aca="true" t="shared" si="31" ref="X44:X49">Z44+AB44</f>
        <v>57</v>
      </c>
      <c r="Y44" s="145">
        <f aca="true" t="shared" si="32" ref="Y44:Y49">Y43+X44</f>
        <v>1761</v>
      </c>
      <c r="Z44" s="152">
        <f>6+6+8+13</f>
        <v>33</v>
      </c>
      <c r="AA44" s="152"/>
      <c r="AB44" s="152">
        <f>5+9+2+8</f>
        <v>24</v>
      </c>
      <c r="AC44" s="142">
        <f aca="true" t="shared" si="33" ref="AC44:AC55">AC43+Z44</f>
        <v>1282</v>
      </c>
      <c r="AD44" s="142">
        <f aca="true" t="shared" si="34" ref="AD44:AD56">AD43+AB44</f>
        <v>479</v>
      </c>
      <c r="AE44" s="62">
        <f aca="true" t="shared" si="35" ref="AE44:AE49">AG44+AI44</f>
        <v>391</v>
      </c>
      <c r="AF44" s="140">
        <f aca="true" t="shared" si="36" ref="AF44:AF49">AF43+AE44</f>
        <v>10592</v>
      </c>
      <c r="AG44" s="65">
        <f aca="true" t="shared" si="37" ref="AG44:AG56">D44+K44+R44+Z44</f>
        <v>219</v>
      </c>
      <c r="AH44" s="65"/>
      <c r="AI44" s="65">
        <f aca="true" t="shared" si="38" ref="AI44:AI56">F44+M44+T44+AB44</f>
        <v>172</v>
      </c>
      <c r="AJ44" s="65">
        <f aca="true" t="shared" si="39" ref="AJ44:AJ55">AJ43+AG44</f>
        <v>7793</v>
      </c>
      <c r="AK44" s="65">
        <f aca="true" t="shared" si="40" ref="AK44:AK56">AK43+AI44</f>
        <v>2799</v>
      </c>
    </row>
    <row r="45" spans="1:37" s="149" customFormat="1" ht="12.75">
      <c r="A45" s="17">
        <v>2006</v>
      </c>
      <c r="B45" s="72">
        <f aca="true" t="shared" si="41" ref="B45:B50">D45+F45</f>
        <v>67</v>
      </c>
      <c r="C45" s="64">
        <f aca="true" t="shared" si="42" ref="C45:C50">C44+B45</f>
        <v>2603</v>
      </c>
      <c r="D45" s="65">
        <f>8+10+8+9</f>
        <v>35</v>
      </c>
      <c r="E45" s="65"/>
      <c r="F45" s="65">
        <f>8+11+4+9</f>
        <v>32</v>
      </c>
      <c r="G45" s="142">
        <f t="shared" si="22"/>
        <v>1772</v>
      </c>
      <c r="H45" s="142">
        <f t="shared" si="23"/>
        <v>831</v>
      </c>
      <c r="I45" s="62">
        <f t="shared" si="24"/>
        <v>87</v>
      </c>
      <c r="J45" s="64">
        <f t="shared" si="25"/>
        <v>2043</v>
      </c>
      <c r="K45" s="152">
        <f>16+16+20+13</f>
        <v>65</v>
      </c>
      <c r="L45" s="152"/>
      <c r="M45" s="152">
        <f>6+7+0+9</f>
        <v>22</v>
      </c>
      <c r="N45" s="65">
        <f t="shared" si="26"/>
        <v>1610</v>
      </c>
      <c r="O45" s="65">
        <f t="shared" si="27"/>
        <v>433</v>
      </c>
      <c r="P45" s="62">
        <f aca="true" t="shared" si="43" ref="P45:P50">R45+T45</f>
        <v>145</v>
      </c>
      <c r="Q45" s="64">
        <f t="shared" si="28"/>
        <v>4484</v>
      </c>
      <c r="R45" s="73">
        <f>23+26+15+31</f>
        <v>95</v>
      </c>
      <c r="S45" s="73"/>
      <c r="T45" s="152">
        <f>11+17+6+16</f>
        <v>50</v>
      </c>
      <c r="U45" s="65">
        <f t="shared" si="29"/>
        <v>3324</v>
      </c>
      <c r="V45" s="64">
        <f t="shared" si="30"/>
        <v>1160</v>
      </c>
      <c r="W45" s="84"/>
      <c r="X45" s="151">
        <f t="shared" si="31"/>
        <v>66</v>
      </c>
      <c r="Y45" s="145">
        <f t="shared" si="32"/>
        <v>1827</v>
      </c>
      <c r="Z45" s="152">
        <f>12+11+6+10</f>
        <v>39</v>
      </c>
      <c r="AA45" s="152"/>
      <c r="AB45" s="152">
        <f>8+6+4+9</f>
        <v>27</v>
      </c>
      <c r="AC45" s="142">
        <f t="shared" si="33"/>
        <v>1321</v>
      </c>
      <c r="AD45" s="142">
        <f t="shared" si="34"/>
        <v>506</v>
      </c>
      <c r="AE45" s="62">
        <f t="shared" si="35"/>
        <v>365</v>
      </c>
      <c r="AF45" s="140">
        <f t="shared" si="36"/>
        <v>10957</v>
      </c>
      <c r="AG45" s="142">
        <f t="shared" si="37"/>
        <v>234</v>
      </c>
      <c r="AH45" s="142"/>
      <c r="AI45" s="142">
        <f t="shared" si="38"/>
        <v>131</v>
      </c>
      <c r="AJ45" s="65">
        <f t="shared" si="39"/>
        <v>8027</v>
      </c>
      <c r="AK45" s="65">
        <f t="shared" si="40"/>
        <v>2930</v>
      </c>
    </row>
    <row r="46" spans="1:37" s="149" customFormat="1" ht="12.75">
      <c r="A46" s="17">
        <v>2007</v>
      </c>
      <c r="B46" s="72">
        <f t="shared" si="41"/>
        <v>80</v>
      </c>
      <c r="C46" s="64">
        <f t="shared" si="42"/>
        <v>2683</v>
      </c>
      <c r="D46" s="65">
        <f>17+10+7+9</f>
        <v>43</v>
      </c>
      <c r="E46" s="65"/>
      <c r="F46" s="65">
        <f>9+13+6+9</f>
        <v>37</v>
      </c>
      <c r="G46" s="142">
        <f t="shared" si="22"/>
        <v>1815</v>
      </c>
      <c r="H46" s="142">
        <f t="shared" si="23"/>
        <v>868</v>
      </c>
      <c r="I46" s="62">
        <f t="shared" si="24"/>
        <v>65</v>
      </c>
      <c r="J46" s="64">
        <f t="shared" si="25"/>
        <v>2108</v>
      </c>
      <c r="K46" s="152">
        <f>22+10+12+6</f>
        <v>50</v>
      </c>
      <c r="L46" s="152"/>
      <c r="M46" s="152">
        <f>8+3+2+2</f>
        <v>15</v>
      </c>
      <c r="N46" s="65">
        <f t="shared" si="26"/>
        <v>1660</v>
      </c>
      <c r="O46" s="65">
        <f t="shared" si="27"/>
        <v>448</v>
      </c>
      <c r="P46" s="62">
        <f t="shared" si="43"/>
        <v>158</v>
      </c>
      <c r="Q46" s="64">
        <f t="shared" si="28"/>
        <v>4642</v>
      </c>
      <c r="R46" s="73">
        <f>26+19+29+36</f>
        <v>110</v>
      </c>
      <c r="S46" s="73"/>
      <c r="T46" s="152">
        <f>13+16+6+13</f>
        <v>48</v>
      </c>
      <c r="U46" s="65">
        <f t="shared" si="29"/>
        <v>3434</v>
      </c>
      <c r="V46" s="64">
        <f t="shared" si="30"/>
        <v>1208</v>
      </c>
      <c r="W46" s="84"/>
      <c r="X46" s="151">
        <f t="shared" si="31"/>
        <v>76</v>
      </c>
      <c r="Y46" s="145">
        <f t="shared" si="32"/>
        <v>1903</v>
      </c>
      <c r="Z46" s="152">
        <f>16+10+9+18</f>
        <v>53</v>
      </c>
      <c r="AA46" s="152"/>
      <c r="AB46" s="152">
        <f>5+7+3+8</f>
        <v>23</v>
      </c>
      <c r="AC46" s="142">
        <f t="shared" si="33"/>
        <v>1374</v>
      </c>
      <c r="AD46" s="142">
        <f t="shared" si="34"/>
        <v>529</v>
      </c>
      <c r="AE46" s="62">
        <f t="shared" si="35"/>
        <v>379</v>
      </c>
      <c r="AF46" s="140">
        <f t="shared" si="36"/>
        <v>11336</v>
      </c>
      <c r="AG46" s="142">
        <f t="shared" si="37"/>
        <v>256</v>
      </c>
      <c r="AH46" s="142"/>
      <c r="AI46" s="142">
        <f t="shared" si="38"/>
        <v>123</v>
      </c>
      <c r="AJ46" s="65">
        <f t="shared" si="39"/>
        <v>8283</v>
      </c>
      <c r="AK46" s="65">
        <f t="shared" si="40"/>
        <v>3053</v>
      </c>
    </row>
    <row r="47" spans="1:37" s="149" customFormat="1" ht="12.75">
      <c r="A47" s="17">
        <v>2008</v>
      </c>
      <c r="B47" s="72">
        <f t="shared" si="41"/>
        <v>84</v>
      </c>
      <c r="C47" s="64">
        <f t="shared" si="42"/>
        <v>2767</v>
      </c>
      <c r="D47" s="65">
        <f>21+13+11+13</f>
        <v>58</v>
      </c>
      <c r="E47" s="65"/>
      <c r="F47" s="65">
        <f>8+6+5+7</f>
        <v>26</v>
      </c>
      <c r="G47" s="142">
        <f t="shared" si="22"/>
        <v>1873</v>
      </c>
      <c r="H47" s="142">
        <f t="shared" si="23"/>
        <v>894</v>
      </c>
      <c r="I47" s="62">
        <f t="shared" si="24"/>
        <v>94</v>
      </c>
      <c r="J47" s="64">
        <f t="shared" si="25"/>
        <v>2202</v>
      </c>
      <c r="K47" s="152">
        <f>19+16+17+13</f>
        <v>65</v>
      </c>
      <c r="L47" s="152"/>
      <c r="M47" s="152">
        <f>7+6+5+11</f>
        <v>29</v>
      </c>
      <c r="N47" s="65">
        <f t="shared" si="26"/>
        <v>1725</v>
      </c>
      <c r="O47" s="65">
        <f t="shared" si="27"/>
        <v>477</v>
      </c>
      <c r="P47" s="62">
        <f t="shared" si="43"/>
        <v>175</v>
      </c>
      <c r="Q47" s="64">
        <f t="shared" si="28"/>
        <v>4817</v>
      </c>
      <c r="R47" s="73">
        <f>30+28+30+30</f>
        <v>118</v>
      </c>
      <c r="S47" s="73"/>
      <c r="T47" s="152">
        <f>11+19+7+20</f>
        <v>57</v>
      </c>
      <c r="U47" s="65">
        <f t="shared" si="29"/>
        <v>3552</v>
      </c>
      <c r="V47" s="64">
        <f t="shared" si="30"/>
        <v>1265</v>
      </c>
      <c r="W47" s="84"/>
      <c r="X47" s="151">
        <f t="shared" si="31"/>
        <v>66</v>
      </c>
      <c r="Y47" s="145">
        <f t="shared" si="32"/>
        <v>1969</v>
      </c>
      <c r="Z47" s="152">
        <f>10+4+10+18</f>
        <v>42</v>
      </c>
      <c r="AA47" s="152"/>
      <c r="AB47" s="152">
        <f>10+4+3+7</f>
        <v>24</v>
      </c>
      <c r="AC47" s="142">
        <f t="shared" si="33"/>
        <v>1416</v>
      </c>
      <c r="AD47" s="142">
        <f t="shared" si="34"/>
        <v>553</v>
      </c>
      <c r="AE47" s="62">
        <f t="shared" si="35"/>
        <v>419</v>
      </c>
      <c r="AF47" s="140">
        <f t="shared" si="36"/>
        <v>11755</v>
      </c>
      <c r="AG47" s="142">
        <f t="shared" si="37"/>
        <v>283</v>
      </c>
      <c r="AH47" s="142"/>
      <c r="AI47" s="142">
        <f t="shared" si="38"/>
        <v>136</v>
      </c>
      <c r="AJ47" s="65">
        <f t="shared" si="39"/>
        <v>8566</v>
      </c>
      <c r="AK47" s="65">
        <f t="shared" si="40"/>
        <v>3189</v>
      </c>
    </row>
    <row r="48" spans="1:37" s="149" customFormat="1" ht="12.75">
      <c r="A48" s="17">
        <v>2009</v>
      </c>
      <c r="B48" s="72">
        <f t="shared" si="41"/>
        <v>71</v>
      </c>
      <c r="C48" s="64">
        <f t="shared" si="42"/>
        <v>2838</v>
      </c>
      <c r="D48" s="65">
        <f>9+8+8+11</f>
        <v>36</v>
      </c>
      <c r="E48" s="65"/>
      <c r="F48" s="65">
        <f>8+13+5+9</f>
        <v>35</v>
      </c>
      <c r="G48" s="142">
        <f t="shared" si="22"/>
        <v>1909</v>
      </c>
      <c r="H48" s="142">
        <f t="shared" si="23"/>
        <v>929</v>
      </c>
      <c r="I48" s="62">
        <f t="shared" si="24"/>
        <v>91</v>
      </c>
      <c r="J48" s="64">
        <f t="shared" si="25"/>
        <v>2293</v>
      </c>
      <c r="K48" s="152">
        <f>11+10+12+11</f>
        <v>44</v>
      </c>
      <c r="L48" s="152"/>
      <c r="M48" s="152">
        <f>13+11+7+16</f>
        <v>47</v>
      </c>
      <c r="N48" s="65">
        <f t="shared" si="26"/>
        <v>1769</v>
      </c>
      <c r="O48" s="65">
        <f t="shared" si="27"/>
        <v>524</v>
      </c>
      <c r="P48" s="62">
        <f t="shared" si="43"/>
        <v>148</v>
      </c>
      <c r="Q48" s="64">
        <f t="shared" si="28"/>
        <v>4965</v>
      </c>
      <c r="R48" s="152">
        <f>27+24+22+30</f>
        <v>103</v>
      </c>
      <c r="S48" s="152"/>
      <c r="T48" s="152">
        <f>11+13+7+14</f>
        <v>45</v>
      </c>
      <c r="U48" s="65">
        <f t="shared" si="29"/>
        <v>3655</v>
      </c>
      <c r="V48" s="64">
        <f t="shared" si="30"/>
        <v>1310</v>
      </c>
      <c r="W48" s="84"/>
      <c r="X48" s="151">
        <f t="shared" si="31"/>
        <v>82</v>
      </c>
      <c r="Y48" s="145">
        <f t="shared" si="32"/>
        <v>2051</v>
      </c>
      <c r="Z48" s="152">
        <f>8+17+12+9</f>
        <v>46</v>
      </c>
      <c r="AA48" s="152"/>
      <c r="AB48" s="152">
        <f>10+11+5+10</f>
        <v>36</v>
      </c>
      <c r="AC48" s="142">
        <f t="shared" si="33"/>
        <v>1462</v>
      </c>
      <c r="AD48" s="142">
        <f t="shared" si="34"/>
        <v>589</v>
      </c>
      <c r="AE48" s="62">
        <f t="shared" si="35"/>
        <v>392</v>
      </c>
      <c r="AF48" s="140">
        <f t="shared" si="36"/>
        <v>12147</v>
      </c>
      <c r="AG48" s="142">
        <f t="shared" si="37"/>
        <v>229</v>
      </c>
      <c r="AH48" s="142"/>
      <c r="AI48" s="142">
        <f t="shared" si="38"/>
        <v>163</v>
      </c>
      <c r="AJ48" s="65">
        <f t="shared" si="39"/>
        <v>8795</v>
      </c>
      <c r="AK48" s="65">
        <f t="shared" si="40"/>
        <v>3352</v>
      </c>
    </row>
    <row r="49" spans="1:37" s="149" customFormat="1" ht="12.75">
      <c r="A49" s="17">
        <v>2010</v>
      </c>
      <c r="B49" s="72">
        <f t="shared" si="41"/>
        <v>72</v>
      </c>
      <c r="C49" s="64">
        <f t="shared" si="42"/>
        <v>2910</v>
      </c>
      <c r="D49" s="142">
        <f>14+7+9+11</f>
        <v>41</v>
      </c>
      <c r="E49" s="142"/>
      <c r="F49" s="142">
        <f>7+10+5+9</f>
        <v>31</v>
      </c>
      <c r="G49" s="142">
        <f t="shared" si="22"/>
        <v>1950</v>
      </c>
      <c r="H49" s="142">
        <f t="shared" si="23"/>
        <v>960</v>
      </c>
      <c r="I49" s="151">
        <f t="shared" si="24"/>
        <v>86</v>
      </c>
      <c r="J49" s="145">
        <f t="shared" si="25"/>
        <v>2379</v>
      </c>
      <c r="K49" s="152">
        <f>13+12+15+9</f>
        <v>49</v>
      </c>
      <c r="L49" s="152"/>
      <c r="M49" s="152">
        <f>9+11+8+9</f>
        <v>37</v>
      </c>
      <c r="N49" s="142">
        <f t="shared" si="26"/>
        <v>1818</v>
      </c>
      <c r="O49" s="142">
        <f t="shared" si="27"/>
        <v>561</v>
      </c>
      <c r="P49" s="62">
        <f t="shared" si="43"/>
        <v>140</v>
      </c>
      <c r="Q49" s="64">
        <f t="shared" si="28"/>
        <v>5105</v>
      </c>
      <c r="R49" s="152">
        <f>13+19+24+25</f>
        <v>81</v>
      </c>
      <c r="S49" s="152"/>
      <c r="T49" s="152">
        <f>17+17+10+15</f>
        <v>59</v>
      </c>
      <c r="U49" s="65">
        <f t="shared" si="29"/>
        <v>3736</v>
      </c>
      <c r="V49" s="64">
        <f t="shared" si="30"/>
        <v>1369</v>
      </c>
      <c r="W49" s="84"/>
      <c r="X49" s="151">
        <f t="shared" si="31"/>
        <v>72</v>
      </c>
      <c r="Y49" s="145">
        <f t="shared" si="32"/>
        <v>2123</v>
      </c>
      <c r="Z49" s="152">
        <f>3+6+17+5</f>
        <v>31</v>
      </c>
      <c r="AA49" s="152"/>
      <c r="AB49" s="152">
        <f>14+11+5+11</f>
        <v>41</v>
      </c>
      <c r="AC49" s="142">
        <f t="shared" si="33"/>
        <v>1493</v>
      </c>
      <c r="AD49" s="142">
        <f t="shared" si="34"/>
        <v>630</v>
      </c>
      <c r="AE49" s="62">
        <f t="shared" si="35"/>
        <v>370</v>
      </c>
      <c r="AF49" s="140">
        <f t="shared" si="36"/>
        <v>12517</v>
      </c>
      <c r="AG49" s="142">
        <f t="shared" si="37"/>
        <v>202</v>
      </c>
      <c r="AH49" s="142"/>
      <c r="AI49" s="142">
        <f t="shared" si="38"/>
        <v>168</v>
      </c>
      <c r="AJ49" s="65">
        <f t="shared" si="39"/>
        <v>8997</v>
      </c>
      <c r="AK49" s="65">
        <f t="shared" si="40"/>
        <v>3520</v>
      </c>
    </row>
    <row r="50" spans="1:37" s="178" customFormat="1" ht="12.75">
      <c r="A50" s="171">
        <v>2011</v>
      </c>
      <c r="B50" s="72">
        <f t="shared" si="41"/>
        <v>110</v>
      </c>
      <c r="C50" s="140">
        <f t="shared" si="42"/>
        <v>3020</v>
      </c>
      <c r="D50" s="155">
        <f>16+16+20+15</f>
        <v>67</v>
      </c>
      <c r="E50" s="155"/>
      <c r="F50" s="155">
        <f>14+10+8+11</f>
        <v>43</v>
      </c>
      <c r="G50" s="155">
        <f t="shared" si="22"/>
        <v>2017</v>
      </c>
      <c r="H50" s="155">
        <f t="shared" si="23"/>
        <v>1003</v>
      </c>
      <c r="I50" s="175">
        <f aca="true" t="shared" si="44" ref="I50:I55">K50+M50</f>
        <v>106</v>
      </c>
      <c r="J50" s="140">
        <f aca="true" t="shared" si="45" ref="J50:J55">J49+I50</f>
        <v>2485</v>
      </c>
      <c r="K50" s="150">
        <f>10+18+18+13</f>
        <v>59</v>
      </c>
      <c r="L50" s="150"/>
      <c r="M50" s="150">
        <f>10+19+5+13</f>
        <v>47</v>
      </c>
      <c r="N50" s="147">
        <f t="shared" si="26"/>
        <v>1877</v>
      </c>
      <c r="O50" s="147">
        <f t="shared" si="27"/>
        <v>608</v>
      </c>
      <c r="P50" s="175">
        <f t="shared" si="43"/>
        <v>159</v>
      </c>
      <c r="Q50" s="140">
        <f aca="true" t="shared" si="46" ref="Q50:Q55">Q49+P50</f>
        <v>5264</v>
      </c>
      <c r="R50" s="150">
        <f>38+17+20+18</f>
        <v>93</v>
      </c>
      <c r="S50" s="150"/>
      <c r="T50" s="150">
        <f>19+19+9+19</f>
        <v>66</v>
      </c>
      <c r="U50" s="147">
        <f t="shared" si="29"/>
        <v>3829</v>
      </c>
      <c r="V50" s="140">
        <f t="shared" si="30"/>
        <v>1435</v>
      </c>
      <c r="W50" s="176"/>
      <c r="X50" s="177">
        <f aca="true" t="shared" si="47" ref="X50:X55">Z50+AB50</f>
        <v>60</v>
      </c>
      <c r="Y50" s="169">
        <f aca="true" t="shared" si="48" ref="Y50:Y55">Y49+X50</f>
        <v>2183</v>
      </c>
      <c r="Z50" s="150">
        <f>4+11+3+14</f>
        <v>32</v>
      </c>
      <c r="AA50" s="150"/>
      <c r="AB50" s="150">
        <f>7+12+5+4</f>
        <v>28</v>
      </c>
      <c r="AC50" s="155">
        <f t="shared" si="33"/>
        <v>1525</v>
      </c>
      <c r="AD50" s="155">
        <f t="shared" si="34"/>
        <v>658</v>
      </c>
      <c r="AE50" s="175">
        <f aca="true" t="shared" si="49" ref="AE50:AE55">AG50+AI50</f>
        <v>435</v>
      </c>
      <c r="AF50" s="140">
        <f aca="true" t="shared" si="50" ref="AF50:AF55">AF49+AE50</f>
        <v>12952</v>
      </c>
      <c r="AG50" s="155">
        <f t="shared" si="37"/>
        <v>251</v>
      </c>
      <c r="AH50" s="155"/>
      <c r="AI50" s="155">
        <f t="shared" si="38"/>
        <v>184</v>
      </c>
      <c r="AJ50" s="147">
        <f t="shared" si="39"/>
        <v>9248</v>
      </c>
      <c r="AK50" s="147">
        <f t="shared" si="40"/>
        <v>3704</v>
      </c>
    </row>
    <row r="51" spans="1:37" s="178" customFormat="1" ht="12.75">
      <c r="A51" s="171">
        <v>2012</v>
      </c>
      <c r="B51" s="143">
        <f>D51+F51</f>
        <v>84</v>
      </c>
      <c r="C51" s="140">
        <f aca="true" t="shared" si="51" ref="C51:C56">C50+B51</f>
        <v>3104</v>
      </c>
      <c r="D51" s="155">
        <f>11+15+15+11</f>
        <v>52</v>
      </c>
      <c r="E51" s="155"/>
      <c r="F51" s="155">
        <f>9+10+6+7</f>
        <v>32</v>
      </c>
      <c r="G51" s="155">
        <f t="shared" si="22"/>
        <v>2069</v>
      </c>
      <c r="H51" s="155">
        <f t="shared" si="23"/>
        <v>1035</v>
      </c>
      <c r="I51" s="175">
        <f t="shared" si="44"/>
        <v>118</v>
      </c>
      <c r="J51" s="140">
        <f t="shared" si="45"/>
        <v>2603</v>
      </c>
      <c r="K51" s="150">
        <f>10+19+25+25</f>
        <v>79</v>
      </c>
      <c r="L51" s="150"/>
      <c r="M51" s="150">
        <f>12+11+5+11</f>
        <v>39</v>
      </c>
      <c r="N51" s="147">
        <f t="shared" si="26"/>
        <v>1956</v>
      </c>
      <c r="O51" s="147">
        <f t="shared" si="27"/>
        <v>647</v>
      </c>
      <c r="P51" s="175">
        <f>R51+T51</f>
        <v>142</v>
      </c>
      <c r="Q51" s="140">
        <f t="shared" si="46"/>
        <v>5406</v>
      </c>
      <c r="R51" s="150">
        <f>22+14+22+21</f>
        <v>79</v>
      </c>
      <c r="S51" s="150"/>
      <c r="T51" s="150">
        <f>21+18+10+14</f>
        <v>63</v>
      </c>
      <c r="U51" s="147">
        <f t="shared" si="29"/>
        <v>3908</v>
      </c>
      <c r="V51" s="140">
        <f t="shared" si="30"/>
        <v>1498</v>
      </c>
      <c r="W51" s="176"/>
      <c r="X51" s="177">
        <f t="shared" si="47"/>
        <v>54</v>
      </c>
      <c r="Y51" s="169">
        <f t="shared" si="48"/>
        <v>2237</v>
      </c>
      <c r="Z51" s="150">
        <f>7+8+12+6</f>
        <v>33</v>
      </c>
      <c r="AA51" s="150"/>
      <c r="AB51" s="150">
        <f>4+7+3+7</f>
        <v>21</v>
      </c>
      <c r="AC51" s="155">
        <f t="shared" si="33"/>
        <v>1558</v>
      </c>
      <c r="AD51" s="155">
        <f t="shared" si="34"/>
        <v>679</v>
      </c>
      <c r="AE51" s="175">
        <f t="shared" si="49"/>
        <v>398</v>
      </c>
      <c r="AF51" s="140">
        <f t="shared" si="50"/>
        <v>13350</v>
      </c>
      <c r="AG51" s="155">
        <f t="shared" si="37"/>
        <v>243</v>
      </c>
      <c r="AH51" s="155"/>
      <c r="AI51" s="155">
        <f t="shared" si="38"/>
        <v>155</v>
      </c>
      <c r="AJ51" s="147">
        <f t="shared" si="39"/>
        <v>9491</v>
      </c>
      <c r="AK51" s="147">
        <f t="shared" si="40"/>
        <v>3859</v>
      </c>
    </row>
    <row r="52" spans="1:37" s="232" customFormat="1" ht="12.75">
      <c r="A52" s="168">
        <v>2013</v>
      </c>
      <c r="B52" s="230">
        <f>D52+F52</f>
        <v>79</v>
      </c>
      <c r="C52" s="169">
        <f t="shared" si="51"/>
        <v>3183</v>
      </c>
      <c r="D52" s="155">
        <f>6+10+18+13</f>
        <v>47</v>
      </c>
      <c r="E52" s="155"/>
      <c r="F52" s="155">
        <f>10+11+1+10</f>
        <v>32</v>
      </c>
      <c r="G52" s="155">
        <f t="shared" si="22"/>
        <v>2116</v>
      </c>
      <c r="H52" s="155">
        <f t="shared" si="23"/>
        <v>1067</v>
      </c>
      <c r="I52" s="177">
        <f t="shared" si="44"/>
        <v>119</v>
      </c>
      <c r="J52" s="169">
        <f t="shared" si="45"/>
        <v>2722</v>
      </c>
      <c r="K52" s="150">
        <f>12+19+17+24</f>
        <v>72</v>
      </c>
      <c r="L52" s="150"/>
      <c r="M52" s="150">
        <f>9+15+8+15</f>
        <v>47</v>
      </c>
      <c r="N52" s="155">
        <f t="shared" si="26"/>
        <v>2028</v>
      </c>
      <c r="O52" s="155">
        <f t="shared" si="27"/>
        <v>694</v>
      </c>
      <c r="P52" s="177">
        <f>R52+T52</f>
        <v>155</v>
      </c>
      <c r="Q52" s="169">
        <f t="shared" si="46"/>
        <v>5561</v>
      </c>
      <c r="R52" s="150">
        <f>19+25+30+31</f>
        <v>105</v>
      </c>
      <c r="S52" s="150"/>
      <c r="T52" s="150">
        <f>18+19+5+8</f>
        <v>50</v>
      </c>
      <c r="U52" s="155">
        <f t="shared" si="29"/>
        <v>4013</v>
      </c>
      <c r="V52" s="169">
        <f t="shared" si="30"/>
        <v>1548</v>
      </c>
      <c r="W52" s="231"/>
      <c r="X52" s="177">
        <f t="shared" si="47"/>
        <v>68</v>
      </c>
      <c r="Y52" s="169">
        <f t="shared" si="48"/>
        <v>2305</v>
      </c>
      <c r="Z52" s="150">
        <f>12+11+12+11</f>
        <v>46</v>
      </c>
      <c r="AA52" s="150"/>
      <c r="AB52" s="150">
        <f>7+6+3+6</f>
        <v>22</v>
      </c>
      <c r="AC52" s="155">
        <f t="shared" si="33"/>
        <v>1604</v>
      </c>
      <c r="AD52" s="155">
        <f t="shared" si="34"/>
        <v>701</v>
      </c>
      <c r="AE52" s="177">
        <f t="shared" si="49"/>
        <v>421</v>
      </c>
      <c r="AF52" s="169">
        <f t="shared" si="50"/>
        <v>13771</v>
      </c>
      <c r="AG52" s="155">
        <f t="shared" si="37"/>
        <v>270</v>
      </c>
      <c r="AH52" s="155"/>
      <c r="AI52" s="155">
        <f t="shared" si="38"/>
        <v>151</v>
      </c>
      <c r="AJ52" s="155">
        <f t="shared" si="39"/>
        <v>9761</v>
      </c>
      <c r="AK52" s="155">
        <f t="shared" si="40"/>
        <v>4010</v>
      </c>
    </row>
    <row r="53" spans="1:39" s="209" customFormat="1" ht="12.75">
      <c r="A53" s="168">
        <v>2014</v>
      </c>
      <c r="B53" s="230">
        <f>D53+F53</f>
        <v>114</v>
      </c>
      <c r="C53" s="169">
        <f t="shared" si="51"/>
        <v>3297</v>
      </c>
      <c r="D53" s="155">
        <f>19+18+21+20</f>
        <v>78</v>
      </c>
      <c r="E53" s="155"/>
      <c r="F53" s="155">
        <f>9+12+5+10</f>
        <v>36</v>
      </c>
      <c r="G53" s="155">
        <f t="shared" si="22"/>
        <v>2194</v>
      </c>
      <c r="H53" s="155">
        <f t="shared" si="23"/>
        <v>1103</v>
      </c>
      <c r="I53" s="177">
        <f t="shared" si="44"/>
        <v>115</v>
      </c>
      <c r="J53" s="169">
        <f t="shared" si="45"/>
        <v>2837</v>
      </c>
      <c r="K53" s="150">
        <f>14+22+17+24</f>
        <v>77</v>
      </c>
      <c r="L53" s="150"/>
      <c r="M53" s="150">
        <f>12+7+6+13</f>
        <v>38</v>
      </c>
      <c r="N53" s="155">
        <f t="shared" si="26"/>
        <v>2105</v>
      </c>
      <c r="O53" s="155">
        <f t="shared" si="27"/>
        <v>732</v>
      </c>
      <c r="P53" s="177">
        <f>R53+T53</f>
        <v>143</v>
      </c>
      <c r="Q53" s="169">
        <f t="shared" si="46"/>
        <v>5704</v>
      </c>
      <c r="R53" s="150">
        <f>16+26+25+22</f>
        <v>89</v>
      </c>
      <c r="S53" s="150"/>
      <c r="T53" s="150">
        <f>14+11+8+21</f>
        <v>54</v>
      </c>
      <c r="U53" s="155">
        <f t="shared" si="29"/>
        <v>4102</v>
      </c>
      <c r="V53" s="169">
        <f t="shared" si="30"/>
        <v>1602</v>
      </c>
      <c r="W53" s="231"/>
      <c r="X53" s="177">
        <f t="shared" si="47"/>
        <v>68</v>
      </c>
      <c r="Y53" s="169">
        <f t="shared" si="48"/>
        <v>2373</v>
      </c>
      <c r="Z53" s="150">
        <f>13+6+16+10</f>
        <v>45</v>
      </c>
      <c r="AA53" s="150"/>
      <c r="AB53" s="150">
        <f>4+8+3+8</f>
        <v>23</v>
      </c>
      <c r="AC53" s="155">
        <f t="shared" si="33"/>
        <v>1649</v>
      </c>
      <c r="AD53" s="155">
        <f t="shared" si="34"/>
        <v>724</v>
      </c>
      <c r="AE53" s="177">
        <f t="shared" si="49"/>
        <v>440</v>
      </c>
      <c r="AF53" s="169">
        <f t="shared" si="50"/>
        <v>14211</v>
      </c>
      <c r="AG53" s="155">
        <f t="shared" si="37"/>
        <v>289</v>
      </c>
      <c r="AH53" s="155"/>
      <c r="AI53" s="155">
        <f t="shared" si="38"/>
        <v>151</v>
      </c>
      <c r="AJ53" s="155">
        <f t="shared" si="39"/>
        <v>10050</v>
      </c>
      <c r="AK53" s="155">
        <f t="shared" si="40"/>
        <v>4161</v>
      </c>
      <c r="AL53" s="232"/>
      <c r="AM53" s="232"/>
    </row>
    <row r="54" spans="1:37" s="232" customFormat="1" ht="12.75">
      <c r="A54" s="168">
        <v>2015</v>
      </c>
      <c r="B54" s="230">
        <f>D54+F54</f>
        <v>92</v>
      </c>
      <c r="C54" s="169">
        <f t="shared" si="51"/>
        <v>3389</v>
      </c>
      <c r="D54" s="155">
        <f>16+14+15+16</f>
        <v>61</v>
      </c>
      <c r="E54" s="155"/>
      <c r="F54" s="155">
        <f>10+11+4+6</f>
        <v>31</v>
      </c>
      <c r="G54" s="155">
        <f t="shared" si="22"/>
        <v>2255</v>
      </c>
      <c r="H54" s="155">
        <f t="shared" si="23"/>
        <v>1134</v>
      </c>
      <c r="I54" s="177">
        <f t="shared" si="44"/>
        <v>98</v>
      </c>
      <c r="J54" s="169">
        <f t="shared" si="45"/>
        <v>2935</v>
      </c>
      <c r="K54" s="150">
        <f>25+12+18+13</f>
        <v>68</v>
      </c>
      <c r="L54" s="150"/>
      <c r="M54" s="150">
        <f>4+9+5+12</f>
        <v>30</v>
      </c>
      <c r="N54" s="155">
        <f t="shared" si="26"/>
        <v>2173</v>
      </c>
      <c r="O54" s="155">
        <f t="shared" si="27"/>
        <v>762</v>
      </c>
      <c r="P54" s="177">
        <f>R54+T54</f>
        <v>189</v>
      </c>
      <c r="Q54" s="169">
        <f t="shared" si="46"/>
        <v>5893</v>
      </c>
      <c r="R54" s="150">
        <f>37+38+28+33</f>
        <v>136</v>
      </c>
      <c r="S54" s="150"/>
      <c r="T54" s="150">
        <f>15+20+8+10</f>
        <v>53</v>
      </c>
      <c r="U54" s="155">
        <f t="shared" si="29"/>
        <v>4238</v>
      </c>
      <c r="V54" s="169">
        <f t="shared" si="30"/>
        <v>1655</v>
      </c>
      <c r="W54" s="231"/>
      <c r="X54" s="177">
        <f t="shared" si="47"/>
        <v>47</v>
      </c>
      <c r="Y54" s="169">
        <f t="shared" si="48"/>
        <v>2420</v>
      </c>
      <c r="Z54" s="150">
        <f>13+5+6+6</f>
        <v>30</v>
      </c>
      <c r="AA54" s="150"/>
      <c r="AB54" s="150">
        <f>4+3+4+6</f>
        <v>17</v>
      </c>
      <c r="AC54" s="155">
        <f t="shared" si="33"/>
        <v>1679</v>
      </c>
      <c r="AD54" s="155">
        <f t="shared" si="34"/>
        <v>741</v>
      </c>
      <c r="AE54" s="177">
        <f t="shared" si="49"/>
        <v>426</v>
      </c>
      <c r="AF54" s="169">
        <f t="shared" si="50"/>
        <v>14637</v>
      </c>
      <c r="AG54" s="155">
        <f t="shared" si="37"/>
        <v>295</v>
      </c>
      <c r="AH54" s="155"/>
      <c r="AI54" s="155">
        <f t="shared" si="38"/>
        <v>131</v>
      </c>
      <c r="AJ54" s="155">
        <f t="shared" si="39"/>
        <v>10345</v>
      </c>
      <c r="AK54" s="155">
        <f t="shared" si="40"/>
        <v>4292</v>
      </c>
    </row>
    <row r="55" spans="1:37" s="232" customFormat="1" ht="12.75">
      <c r="A55" s="164">
        <v>2016</v>
      </c>
      <c r="B55" s="230">
        <f>D55+F55</f>
        <v>101</v>
      </c>
      <c r="C55" s="169">
        <f t="shared" si="51"/>
        <v>3490</v>
      </c>
      <c r="D55" s="155">
        <f>18+18+13+22</f>
        <v>71</v>
      </c>
      <c r="E55" s="155"/>
      <c r="F55" s="155">
        <f>7+11+4+8</f>
        <v>30</v>
      </c>
      <c r="G55" s="155">
        <f t="shared" si="22"/>
        <v>2326</v>
      </c>
      <c r="H55" s="155">
        <f t="shared" si="23"/>
        <v>1164</v>
      </c>
      <c r="I55" s="177">
        <f t="shared" si="44"/>
        <v>112</v>
      </c>
      <c r="J55" s="169">
        <f t="shared" si="45"/>
        <v>3047</v>
      </c>
      <c r="K55" s="150">
        <f>14+24+21+21</f>
        <v>80</v>
      </c>
      <c r="L55" s="150"/>
      <c r="M55" s="150">
        <f>7+10+5+10</f>
        <v>32</v>
      </c>
      <c r="N55" s="155">
        <f t="shared" si="26"/>
        <v>2253</v>
      </c>
      <c r="O55" s="155">
        <f t="shared" si="27"/>
        <v>794</v>
      </c>
      <c r="P55" s="177">
        <f>R55+T55</f>
        <v>136</v>
      </c>
      <c r="Q55" s="169">
        <f t="shared" si="46"/>
        <v>6029</v>
      </c>
      <c r="R55" s="150">
        <f>31+16+20+21</f>
        <v>88</v>
      </c>
      <c r="S55" s="150"/>
      <c r="T55" s="150">
        <f>14+13+9+12</f>
        <v>48</v>
      </c>
      <c r="U55" s="155">
        <f t="shared" si="29"/>
        <v>4326</v>
      </c>
      <c r="V55" s="169">
        <f t="shared" si="30"/>
        <v>1703</v>
      </c>
      <c r="W55" s="231"/>
      <c r="X55" s="177">
        <f t="shared" si="47"/>
        <v>76</v>
      </c>
      <c r="Y55" s="169">
        <f t="shared" si="48"/>
        <v>2496</v>
      </c>
      <c r="Z55" s="150">
        <f>15+8+17+11</f>
        <v>51</v>
      </c>
      <c r="AA55" s="150"/>
      <c r="AB55" s="150">
        <f>5+9+3+8</f>
        <v>25</v>
      </c>
      <c r="AC55" s="155">
        <f t="shared" si="33"/>
        <v>1730</v>
      </c>
      <c r="AD55" s="155">
        <f t="shared" si="34"/>
        <v>766</v>
      </c>
      <c r="AE55" s="177">
        <f t="shared" si="49"/>
        <v>425</v>
      </c>
      <c r="AF55" s="169">
        <f t="shared" si="50"/>
        <v>15062</v>
      </c>
      <c r="AG55" s="155">
        <f t="shared" si="37"/>
        <v>290</v>
      </c>
      <c r="AH55" s="155"/>
      <c r="AI55" s="155">
        <f t="shared" si="38"/>
        <v>135</v>
      </c>
      <c r="AJ55" s="155">
        <f t="shared" si="39"/>
        <v>10635</v>
      </c>
      <c r="AK55" s="155">
        <f t="shared" si="40"/>
        <v>4427</v>
      </c>
    </row>
    <row r="56" spans="1:37" s="232" customFormat="1" ht="12.75">
      <c r="A56" s="164">
        <v>2017</v>
      </c>
      <c r="B56" s="230">
        <f>D56+E56+F56</f>
        <v>118</v>
      </c>
      <c r="C56" s="169">
        <f t="shared" si="51"/>
        <v>3608</v>
      </c>
      <c r="D56" s="155">
        <f>22+20+20+25</f>
        <v>87</v>
      </c>
      <c r="E56" s="155"/>
      <c r="F56" s="155">
        <f>8+8+4+11</f>
        <v>31</v>
      </c>
      <c r="G56" s="155">
        <f>G55+D56+E56</f>
        <v>2413</v>
      </c>
      <c r="H56" s="155">
        <f t="shared" si="23"/>
        <v>1195</v>
      </c>
      <c r="I56" s="177">
        <f>K56+L56+M56</f>
        <v>110</v>
      </c>
      <c r="J56" s="169">
        <f>J55+I56</f>
        <v>3157</v>
      </c>
      <c r="K56" s="150">
        <f>12+17+23+23</f>
        <v>75</v>
      </c>
      <c r="L56" s="150"/>
      <c r="M56" s="150">
        <f>9+7+5+14</f>
        <v>35</v>
      </c>
      <c r="N56" s="155">
        <f>N55+K56+L56</f>
        <v>2328</v>
      </c>
      <c r="O56" s="155">
        <f t="shared" si="27"/>
        <v>829</v>
      </c>
      <c r="P56" s="177">
        <f>R56+S56+T56</f>
        <v>150</v>
      </c>
      <c r="Q56" s="169">
        <f>Q55+P56</f>
        <v>6179</v>
      </c>
      <c r="R56" s="150">
        <f>29+35+25+24</f>
        <v>113</v>
      </c>
      <c r="S56" s="150"/>
      <c r="T56" s="150">
        <f>8+12+6+11</f>
        <v>37</v>
      </c>
      <c r="U56" s="155">
        <f>U55+R56+S56</f>
        <v>4439</v>
      </c>
      <c r="V56" s="169">
        <f t="shared" si="30"/>
        <v>1740</v>
      </c>
      <c r="W56" s="231"/>
      <c r="X56" s="177">
        <f>Z56+AA56+AB56</f>
        <v>96</v>
      </c>
      <c r="Y56" s="169">
        <f>Y55+X56</f>
        <v>2592</v>
      </c>
      <c r="Z56" s="150">
        <f>14+22+21+17</f>
        <v>74</v>
      </c>
      <c r="AA56" s="150"/>
      <c r="AB56" s="150">
        <f>6+6+1+9</f>
        <v>22</v>
      </c>
      <c r="AC56" s="155">
        <f>AC55+Z56+AA56</f>
        <v>1804</v>
      </c>
      <c r="AD56" s="155">
        <f t="shared" si="34"/>
        <v>788</v>
      </c>
      <c r="AE56" s="177">
        <f>AG56+AH56+AI56</f>
        <v>474</v>
      </c>
      <c r="AF56" s="169">
        <f>AF55+AE56</f>
        <v>15536</v>
      </c>
      <c r="AG56" s="155">
        <f t="shared" si="37"/>
        <v>349</v>
      </c>
      <c r="AH56" s="155">
        <f>E56+L56+S56+AA56</f>
        <v>0</v>
      </c>
      <c r="AI56" s="155">
        <f t="shared" si="38"/>
        <v>125</v>
      </c>
      <c r="AJ56" s="155">
        <f>AJ55+AG56+AH56</f>
        <v>10984</v>
      </c>
      <c r="AK56" s="155">
        <f t="shared" si="40"/>
        <v>4552</v>
      </c>
    </row>
    <row r="57" spans="1:38" s="209" customFormat="1" ht="12.75">
      <c r="A57" s="164">
        <v>2018</v>
      </c>
      <c r="B57" s="230">
        <f>D57+E57+F57</f>
        <v>91</v>
      </c>
      <c r="C57" s="169">
        <f>C56+B57</f>
        <v>3699</v>
      </c>
      <c r="D57" s="155">
        <f>12+12+14+19</f>
        <v>57</v>
      </c>
      <c r="E57" s="155">
        <f>5+2+0+3</f>
        <v>10</v>
      </c>
      <c r="F57" s="155">
        <f>5+7+3+9</f>
        <v>24</v>
      </c>
      <c r="G57" s="155">
        <f>G56+D57+E57</f>
        <v>2480</v>
      </c>
      <c r="H57" s="155">
        <f>H56+F57</f>
        <v>1219</v>
      </c>
      <c r="I57" s="177">
        <f>K57+L57+M57</f>
        <v>99</v>
      </c>
      <c r="J57" s="169">
        <f>J56+I57</f>
        <v>3256</v>
      </c>
      <c r="K57" s="150">
        <f>12+11+15+18</f>
        <v>56</v>
      </c>
      <c r="L57" s="150">
        <f>4+2+0+1</f>
        <v>7</v>
      </c>
      <c r="M57" s="150">
        <f>13+12+5+6</f>
        <v>36</v>
      </c>
      <c r="N57" s="155">
        <f>N56+K57+L57</f>
        <v>2391</v>
      </c>
      <c r="O57" s="155">
        <f>O56+M57</f>
        <v>865</v>
      </c>
      <c r="P57" s="177">
        <f>R57+S57+T57</f>
        <v>166</v>
      </c>
      <c r="Q57" s="169">
        <f>Q56+P57</f>
        <v>6345</v>
      </c>
      <c r="R57" s="150">
        <f>24+19+45+29</f>
        <v>117</v>
      </c>
      <c r="S57" s="150">
        <f>0</f>
        <v>0</v>
      </c>
      <c r="T57" s="150">
        <f>13+16+8+12</f>
        <v>49</v>
      </c>
      <c r="U57" s="155">
        <f>U56+R57+S57</f>
        <v>4556</v>
      </c>
      <c r="V57" s="169">
        <f>V56+T57</f>
        <v>1789</v>
      </c>
      <c r="W57" s="231"/>
      <c r="X57" s="177">
        <f>Z57+AA57+AB57</f>
        <v>92</v>
      </c>
      <c r="Y57" s="169">
        <f>Y56+X57</f>
        <v>2684</v>
      </c>
      <c r="Z57" s="150">
        <f>12+11+22+12</f>
        <v>57</v>
      </c>
      <c r="AA57" s="150">
        <f>0</f>
        <v>0</v>
      </c>
      <c r="AB57" s="150">
        <f>10+9+5+11</f>
        <v>35</v>
      </c>
      <c r="AC57" s="155">
        <f>AC56+Z57+AA57</f>
        <v>1861</v>
      </c>
      <c r="AD57" s="155">
        <f>AD56+AB57</f>
        <v>823</v>
      </c>
      <c r="AE57" s="177">
        <f>AG57+AH57+AI57</f>
        <v>448</v>
      </c>
      <c r="AF57" s="169">
        <f>AF56+AE57</f>
        <v>15984</v>
      </c>
      <c r="AG57" s="155">
        <f>D57+K57+R57+Z57</f>
        <v>287</v>
      </c>
      <c r="AH57" s="155">
        <f>E57+L57+S57+AA57</f>
        <v>17</v>
      </c>
      <c r="AI57" s="155">
        <f>F57+M57+T57+AB57</f>
        <v>144</v>
      </c>
      <c r="AJ57" s="155">
        <f>AJ56+AG57+AH57</f>
        <v>11288</v>
      </c>
      <c r="AK57" s="155">
        <f>AK56+AI57</f>
        <v>4696</v>
      </c>
      <c r="AL57" s="232"/>
    </row>
    <row r="58" spans="1:37" s="232" customFormat="1" ht="12.75">
      <c r="A58" s="164">
        <v>2019</v>
      </c>
      <c r="B58" s="230">
        <f>D58+E58+F58</f>
        <v>104</v>
      </c>
      <c r="C58" s="169">
        <f>C57+B58</f>
        <v>3803</v>
      </c>
      <c r="D58" s="155">
        <f>21+18+11+15</f>
        <v>65</v>
      </c>
      <c r="E58" s="155">
        <f>0+0+0+3</f>
        <v>3</v>
      </c>
      <c r="F58" s="155">
        <f>9+8+5+14</f>
        <v>36</v>
      </c>
      <c r="G58" s="155">
        <f>G57+D58+E58</f>
        <v>2548</v>
      </c>
      <c r="H58" s="155">
        <f>H57+F58</f>
        <v>1255</v>
      </c>
      <c r="I58" s="177">
        <f>K58+L58+M58</f>
        <v>96</v>
      </c>
      <c r="J58" s="169">
        <f>J57+I58</f>
        <v>3352</v>
      </c>
      <c r="K58" s="150">
        <f>17+19+11+16</f>
        <v>63</v>
      </c>
      <c r="L58" s="150">
        <f>0+0+0+1</f>
        <v>1</v>
      </c>
      <c r="M58" s="150">
        <f>7+8+6+11</f>
        <v>32</v>
      </c>
      <c r="N58" s="155">
        <f>N57+K58+L58</f>
        <v>2455</v>
      </c>
      <c r="O58" s="155">
        <f>O57+M58</f>
        <v>897</v>
      </c>
      <c r="P58" s="177">
        <f>R58+S58+T58</f>
        <v>202</v>
      </c>
      <c r="Q58" s="169">
        <f>Q57+P58</f>
        <v>6547</v>
      </c>
      <c r="R58" s="150">
        <f>42+39+30+36</f>
        <v>147</v>
      </c>
      <c r="S58" s="150">
        <f>0+0+0+0</f>
        <v>0</v>
      </c>
      <c r="T58" s="150">
        <f>10+15+10+20</f>
        <v>55</v>
      </c>
      <c r="U58" s="155">
        <f>U57+R58+S58</f>
        <v>4703</v>
      </c>
      <c r="V58" s="169">
        <f>V57+T58</f>
        <v>1844</v>
      </c>
      <c r="W58" s="231"/>
      <c r="X58" s="177">
        <f>Z58+AA58+AB58</f>
        <v>74</v>
      </c>
      <c r="Y58" s="169">
        <f>Y57+X58</f>
        <v>2758</v>
      </c>
      <c r="Z58" s="150">
        <f>14+6+5+23</f>
        <v>48</v>
      </c>
      <c r="AA58" s="150">
        <f>0+0+0+2</f>
        <v>2</v>
      </c>
      <c r="AB58" s="150">
        <f>7+7+4+6</f>
        <v>24</v>
      </c>
      <c r="AC58" s="155">
        <f>AC57+Z58+AA58</f>
        <v>1911</v>
      </c>
      <c r="AD58" s="155">
        <f>AD57+AB58</f>
        <v>847</v>
      </c>
      <c r="AE58" s="177">
        <f>AG58+AH58+AI58</f>
        <v>476</v>
      </c>
      <c r="AF58" s="169">
        <f>AF57+AE58</f>
        <v>16460</v>
      </c>
      <c r="AG58" s="155">
        <f>D58+K58+R58+Z58</f>
        <v>323</v>
      </c>
      <c r="AH58" s="155">
        <f>E58+L58+S58+AA58</f>
        <v>6</v>
      </c>
      <c r="AI58" s="155">
        <f>F58+M58+T58+AB58</f>
        <v>147</v>
      </c>
      <c r="AJ58" s="155">
        <f>AJ57+AG58+AH58</f>
        <v>11617</v>
      </c>
      <c r="AK58" s="155">
        <f>AK57+AI58</f>
        <v>4843</v>
      </c>
    </row>
    <row r="59" spans="1:37" s="209" customFormat="1" ht="12.75">
      <c r="A59" s="244">
        <v>2020</v>
      </c>
      <c r="B59" s="207">
        <f>D59+E59+F59</f>
        <v>40</v>
      </c>
      <c r="C59" s="194">
        <f>C58+B59</f>
        <v>3843</v>
      </c>
      <c r="D59" s="196">
        <f>27</f>
        <v>27</v>
      </c>
      <c r="E59" s="196">
        <f>3</f>
        <v>3</v>
      </c>
      <c r="F59" s="196">
        <f>10</f>
        <v>10</v>
      </c>
      <c r="G59" s="196">
        <f>G58+D59+E59</f>
        <v>2578</v>
      </c>
      <c r="H59" s="196">
        <f>H58+F59</f>
        <v>1265</v>
      </c>
      <c r="I59" s="197">
        <f>K59+L59+M59</f>
        <v>28</v>
      </c>
      <c r="J59" s="194">
        <f>J58+I59</f>
        <v>3380</v>
      </c>
      <c r="K59" s="195">
        <f>17</f>
        <v>17</v>
      </c>
      <c r="L59" s="195">
        <f>3</f>
        <v>3</v>
      </c>
      <c r="M59" s="195">
        <f>8</f>
        <v>8</v>
      </c>
      <c r="N59" s="196">
        <f>N58+K59+L59</f>
        <v>2475</v>
      </c>
      <c r="O59" s="196">
        <f>O58+M59</f>
        <v>905</v>
      </c>
      <c r="P59" s="197">
        <f>R59+S59+T59</f>
        <v>46</v>
      </c>
      <c r="Q59" s="194">
        <f>Q58+P59</f>
        <v>6593</v>
      </c>
      <c r="R59" s="195">
        <f>27</f>
        <v>27</v>
      </c>
      <c r="S59" s="195">
        <f>1</f>
        <v>1</v>
      </c>
      <c r="T59" s="195">
        <f>18</f>
        <v>18</v>
      </c>
      <c r="U59" s="196">
        <f>U58+R59+S59</f>
        <v>4731</v>
      </c>
      <c r="V59" s="194">
        <f>V58+T59</f>
        <v>1862</v>
      </c>
      <c r="W59" s="208"/>
      <c r="X59" s="197">
        <f>Z59+AA59+AB59</f>
        <v>16</v>
      </c>
      <c r="Y59" s="194">
        <f>Y58+X59</f>
        <v>2774</v>
      </c>
      <c r="Z59" s="195">
        <f>11</f>
        <v>11</v>
      </c>
      <c r="AA59" s="195">
        <f>1</f>
        <v>1</v>
      </c>
      <c r="AB59" s="195">
        <f>4</f>
        <v>4</v>
      </c>
      <c r="AC59" s="196">
        <f>AC58+Z59+AA59</f>
        <v>1923</v>
      </c>
      <c r="AD59" s="196">
        <f>AD58+AB59</f>
        <v>851</v>
      </c>
      <c r="AE59" s="197">
        <f>AG59+AH59+AI59</f>
        <v>130</v>
      </c>
      <c r="AF59" s="194">
        <f>AF58+AE59</f>
        <v>16590</v>
      </c>
      <c r="AG59" s="196">
        <f>D59+K59+R59+Z59</f>
        <v>82</v>
      </c>
      <c r="AH59" s="196">
        <f>E59+L59+S59+AA59</f>
        <v>8</v>
      </c>
      <c r="AI59" s="196">
        <f>F59+M59+T59+AB59</f>
        <v>40</v>
      </c>
      <c r="AJ59" s="196">
        <f>AJ58+AG59+AH59</f>
        <v>11707</v>
      </c>
      <c r="AK59" s="196">
        <f>AK58+AI59</f>
        <v>4883</v>
      </c>
    </row>
    <row r="60" spans="1:37" s="78" customFormat="1" ht="12.75">
      <c r="A60" s="17"/>
      <c r="B60" s="62"/>
      <c r="C60" s="65"/>
      <c r="D60" s="65"/>
      <c r="E60" s="65"/>
      <c r="F60" s="65"/>
      <c r="G60" s="65"/>
      <c r="H60" s="64"/>
      <c r="I60" s="74"/>
      <c r="J60" s="73"/>
      <c r="K60" s="73"/>
      <c r="L60" s="73"/>
      <c r="M60" s="73"/>
      <c r="N60" s="73"/>
      <c r="O60" s="82"/>
      <c r="P60" s="74"/>
      <c r="Q60" s="73"/>
      <c r="R60" s="73"/>
      <c r="S60" s="73"/>
      <c r="T60" s="73"/>
      <c r="U60" s="73"/>
      <c r="V60" s="83"/>
      <c r="W60" s="84"/>
      <c r="X60" s="75"/>
      <c r="Y60" s="73"/>
      <c r="Z60" s="73"/>
      <c r="AA60" s="73"/>
      <c r="AB60" s="73"/>
      <c r="AC60" s="73"/>
      <c r="AD60" s="82"/>
      <c r="AE60" s="74"/>
      <c r="AF60" s="73"/>
      <c r="AG60" s="73"/>
      <c r="AH60" s="73"/>
      <c r="AI60" s="73"/>
      <c r="AJ60" s="73"/>
      <c r="AK60" s="73"/>
    </row>
    <row r="61" spans="1:37" s="78" customFormat="1" ht="12.75">
      <c r="A61" s="17"/>
      <c r="B61" s="62"/>
      <c r="C61" s="65"/>
      <c r="D61" s="65"/>
      <c r="E61" s="65"/>
      <c r="F61" s="65"/>
      <c r="G61" s="65"/>
      <c r="H61" s="64"/>
      <c r="I61" s="74"/>
      <c r="J61" s="73"/>
      <c r="K61" s="73"/>
      <c r="L61" s="73"/>
      <c r="M61" s="73"/>
      <c r="N61" s="73"/>
      <c r="O61" s="82"/>
      <c r="P61" s="74"/>
      <c r="Q61" s="73"/>
      <c r="R61" s="73"/>
      <c r="S61" s="73"/>
      <c r="T61" s="73"/>
      <c r="U61" s="73"/>
      <c r="V61" s="83"/>
      <c r="W61" s="84"/>
      <c r="X61" s="75"/>
      <c r="Y61" s="73"/>
      <c r="Z61" s="73"/>
      <c r="AA61" s="73"/>
      <c r="AB61" s="73"/>
      <c r="AC61" s="73"/>
      <c r="AD61" s="82"/>
      <c r="AE61" s="74"/>
      <c r="AF61" s="73"/>
      <c r="AG61" s="73"/>
      <c r="AH61" s="73"/>
      <c r="AI61" s="73"/>
      <c r="AJ61" s="73"/>
      <c r="AK61" s="73"/>
    </row>
    <row r="62" spans="1:37" s="78" customFormat="1" ht="12.75">
      <c r="A62" s="17"/>
      <c r="B62" s="62"/>
      <c r="C62" s="65"/>
      <c r="D62" s="65"/>
      <c r="E62" s="65"/>
      <c r="F62" s="65"/>
      <c r="G62" s="65"/>
      <c r="H62" s="64"/>
      <c r="I62" s="74"/>
      <c r="J62" s="73"/>
      <c r="K62" s="73"/>
      <c r="L62" s="73"/>
      <c r="M62" s="73"/>
      <c r="N62" s="73"/>
      <c r="O62" s="82"/>
      <c r="P62" s="74"/>
      <c r="Q62" s="73"/>
      <c r="R62" s="73"/>
      <c r="S62" s="73"/>
      <c r="T62" s="73"/>
      <c r="U62" s="73"/>
      <c r="V62" s="83"/>
      <c r="W62" s="84"/>
      <c r="X62" s="75"/>
      <c r="Y62" s="73"/>
      <c r="Z62" s="73"/>
      <c r="AA62" s="73"/>
      <c r="AB62" s="73"/>
      <c r="AC62" s="73"/>
      <c r="AD62" s="82"/>
      <c r="AE62" s="74"/>
      <c r="AF62" s="73"/>
      <c r="AG62" s="73"/>
      <c r="AH62" s="73"/>
      <c r="AI62" s="73"/>
      <c r="AJ62" s="73"/>
      <c r="AK62" s="73"/>
    </row>
    <row r="63" spans="1:37" s="78" customFormat="1" ht="12.75">
      <c r="A63" s="17"/>
      <c r="B63" s="62"/>
      <c r="C63" s="65"/>
      <c r="D63" s="65"/>
      <c r="E63" s="65"/>
      <c r="F63" s="65"/>
      <c r="G63" s="65"/>
      <c r="H63" s="64"/>
      <c r="I63" s="74"/>
      <c r="J63" s="73"/>
      <c r="K63" s="73"/>
      <c r="L63" s="73"/>
      <c r="M63" s="73"/>
      <c r="N63" s="73"/>
      <c r="O63" s="82"/>
      <c r="P63" s="74"/>
      <c r="Q63" s="73"/>
      <c r="R63" s="73"/>
      <c r="S63" s="73"/>
      <c r="T63" s="73"/>
      <c r="U63" s="73"/>
      <c r="V63" s="83"/>
      <c r="W63" s="84"/>
      <c r="X63" s="75"/>
      <c r="Y63" s="73"/>
      <c r="Z63" s="73"/>
      <c r="AA63" s="73"/>
      <c r="AB63" s="73"/>
      <c r="AC63" s="73"/>
      <c r="AD63" s="82"/>
      <c r="AE63" s="74"/>
      <c r="AF63" s="73"/>
      <c r="AG63" s="73"/>
      <c r="AH63" s="73"/>
      <c r="AI63" s="73"/>
      <c r="AJ63" s="73"/>
      <c r="AK63" s="73"/>
    </row>
    <row r="64" spans="1:37" s="78" customFormat="1" ht="12.75">
      <c r="A64" s="17"/>
      <c r="B64" s="62"/>
      <c r="C64" s="65"/>
      <c r="D64" s="65"/>
      <c r="E64" s="65"/>
      <c r="F64" s="65"/>
      <c r="G64" s="65"/>
      <c r="H64" s="64"/>
      <c r="I64" s="74"/>
      <c r="J64" s="73"/>
      <c r="K64" s="73"/>
      <c r="L64" s="73"/>
      <c r="M64" s="73"/>
      <c r="N64" s="73"/>
      <c r="O64" s="82"/>
      <c r="P64" s="74"/>
      <c r="Q64" s="73"/>
      <c r="R64" s="73"/>
      <c r="S64" s="73"/>
      <c r="T64" s="73"/>
      <c r="U64" s="73"/>
      <c r="V64" s="83"/>
      <c r="W64" s="84"/>
      <c r="X64" s="75"/>
      <c r="Y64" s="73"/>
      <c r="Z64" s="73"/>
      <c r="AA64" s="73"/>
      <c r="AB64" s="73"/>
      <c r="AC64" s="73"/>
      <c r="AD64" s="82"/>
      <c r="AE64" s="74"/>
      <c r="AF64" s="73"/>
      <c r="AG64" s="73"/>
      <c r="AH64" s="73"/>
      <c r="AI64" s="73"/>
      <c r="AJ64" s="73"/>
      <c r="AK64" s="73"/>
    </row>
    <row r="65" spans="1:37" s="78" customFormat="1" ht="12.75">
      <c r="A65" s="17"/>
      <c r="B65" s="62"/>
      <c r="C65" s="65"/>
      <c r="D65" s="65"/>
      <c r="E65" s="65"/>
      <c r="F65" s="65"/>
      <c r="G65" s="65"/>
      <c r="H65" s="64"/>
      <c r="I65" s="74"/>
      <c r="J65" s="73"/>
      <c r="K65" s="73"/>
      <c r="L65" s="73"/>
      <c r="M65" s="73"/>
      <c r="N65" s="73"/>
      <c r="O65" s="82"/>
      <c r="P65" s="74"/>
      <c r="Q65" s="73"/>
      <c r="R65" s="73"/>
      <c r="S65" s="73"/>
      <c r="T65" s="73"/>
      <c r="U65" s="73"/>
      <c r="V65" s="83"/>
      <c r="W65" s="84"/>
      <c r="X65" s="75"/>
      <c r="Y65" s="73"/>
      <c r="Z65" s="73"/>
      <c r="AA65" s="73"/>
      <c r="AB65" s="73"/>
      <c r="AC65" s="73"/>
      <c r="AD65" s="82"/>
      <c r="AE65" s="74"/>
      <c r="AF65" s="73"/>
      <c r="AG65" s="73"/>
      <c r="AH65" s="73"/>
      <c r="AI65" s="73"/>
      <c r="AJ65" s="73"/>
      <c r="AK65" s="73"/>
    </row>
    <row r="66" spans="1:37" s="78" customFormat="1" ht="12.75">
      <c r="A66" s="17"/>
      <c r="B66" s="62"/>
      <c r="C66" s="65"/>
      <c r="D66" s="65"/>
      <c r="E66" s="65"/>
      <c r="F66" s="65"/>
      <c r="G66" s="65"/>
      <c r="H66" s="64"/>
      <c r="I66" s="74"/>
      <c r="J66" s="73"/>
      <c r="K66" s="73"/>
      <c r="L66" s="73"/>
      <c r="M66" s="73"/>
      <c r="N66" s="73"/>
      <c r="O66" s="82"/>
      <c r="P66" s="74"/>
      <c r="Q66" s="73"/>
      <c r="R66" s="73"/>
      <c r="S66" s="73"/>
      <c r="T66" s="73"/>
      <c r="U66" s="73"/>
      <c r="V66" s="83"/>
      <c r="W66" s="84"/>
      <c r="X66" s="75"/>
      <c r="Y66" s="73"/>
      <c r="Z66" s="73"/>
      <c r="AA66" s="73"/>
      <c r="AB66" s="73"/>
      <c r="AC66" s="73"/>
      <c r="AD66" s="82"/>
      <c r="AE66" s="74"/>
      <c r="AF66" s="73"/>
      <c r="AG66" s="73"/>
      <c r="AH66" s="73"/>
      <c r="AI66" s="73"/>
      <c r="AJ66" s="73"/>
      <c r="AK66" s="73"/>
    </row>
    <row r="67" spans="1:37" s="78" customFormat="1" ht="12.75">
      <c r="A67" s="17"/>
      <c r="B67" s="62"/>
      <c r="C67" s="65"/>
      <c r="D67" s="65"/>
      <c r="E67" s="65"/>
      <c r="F67" s="65"/>
      <c r="G67" s="65"/>
      <c r="H67" s="64"/>
      <c r="I67" s="74"/>
      <c r="J67" s="73"/>
      <c r="K67" s="73"/>
      <c r="L67" s="73"/>
      <c r="M67" s="73"/>
      <c r="N67" s="73"/>
      <c r="O67" s="82"/>
      <c r="P67" s="74"/>
      <c r="Q67" s="73"/>
      <c r="R67" s="73"/>
      <c r="S67" s="73"/>
      <c r="T67" s="73"/>
      <c r="U67" s="73"/>
      <c r="V67" s="83"/>
      <c r="W67" s="84"/>
      <c r="X67" s="75"/>
      <c r="Y67" s="73"/>
      <c r="Z67" s="73"/>
      <c r="AA67" s="73"/>
      <c r="AB67" s="73"/>
      <c r="AC67" s="73"/>
      <c r="AD67" s="82"/>
      <c r="AE67" s="74"/>
      <c r="AF67" s="73"/>
      <c r="AG67" s="73"/>
      <c r="AH67" s="73"/>
      <c r="AI67" s="73"/>
      <c r="AJ67" s="73"/>
      <c r="AK67" s="73"/>
    </row>
    <row r="68" spans="1:37" s="78" customFormat="1" ht="12.75">
      <c r="A68" s="17"/>
      <c r="B68" s="62"/>
      <c r="C68" s="65"/>
      <c r="D68" s="65"/>
      <c r="E68" s="65"/>
      <c r="F68" s="65"/>
      <c r="G68" s="65"/>
      <c r="H68" s="64"/>
      <c r="I68" s="74"/>
      <c r="J68" s="73"/>
      <c r="K68" s="73"/>
      <c r="L68" s="73"/>
      <c r="M68" s="73"/>
      <c r="N68" s="73"/>
      <c r="O68" s="82"/>
      <c r="P68" s="74"/>
      <c r="Q68" s="73"/>
      <c r="R68" s="73"/>
      <c r="S68" s="73"/>
      <c r="T68" s="73"/>
      <c r="U68" s="73"/>
      <c r="V68" s="83"/>
      <c r="W68" s="84"/>
      <c r="X68" s="75"/>
      <c r="Y68" s="73"/>
      <c r="Z68" s="73"/>
      <c r="AA68" s="73"/>
      <c r="AB68" s="73"/>
      <c r="AC68" s="73"/>
      <c r="AD68" s="82"/>
      <c r="AE68" s="74"/>
      <c r="AF68" s="73"/>
      <c r="AG68" s="73"/>
      <c r="AH68" s="73"/>
      <c r="AI68" s="73"/>
      <c r="AJ68" s="73"/>
      <c r="AK68" s="73"/>
    </row>
    <row r="69" spans="1:37" s="78" customFormat="1" ht="12.75">
      <c r="A69" s="17"/>
      <c r="B69" s="62"/>
      <c r="C69" s="65"/>
      <c r="D69" s="65"/>
      <c r="E69" s="65"/>
      <c r="F69" s="65"/>
      <c r="G69" s="65"/>
      <c r="H69" s="64"/>
      <c r="I69" s="74"/>
      <c r="J69" s="73"/>
      <c r="K69" s="73"/>
      <c r="L69" s="73"/>
      <c r="M69" s="73"/>
      <c r="N69" s="73"/>
      <c r="O69" s="82"/>
      <c r="P69" s="74"/>
      <c r="Q69" s="73"/>
      <c r="R69" s="73"/>
      <c r="S69" s="73"/>
      <c r="T69" s="73"/>
      <c r="U69" s="73"/>
      <c r="V69" s="83"/>
      <c r="W69" s="84"/>
      <c r="X69" s="75"/>
      <c r="Y69" s="73"/>
      <c r="Z69" s="73"/>
      <c r="AA69" s="73"/>
      <c r="AB69" s="73"/>
      <c r="AC69" s="73"/>
      <c r="AD69" s="82"/>
      <c r="AE69" s="74"/>
      <c r="AF69" s="73"/>
      <c r="AG69" s="73"/>
      <c r="AH69" s="73"/>
      <c r="AI69" s="73"/>
      <c r="AJ69" s="73"/>
      <c r="AK69" s="73"/>
    </row>
    <row r="70" spans="1:37" s="78" customFormat="1" ht="12.75">
      <c r="A70" s="17"/>
      <c r="B70" s="62"/>
      <c r="C70" s="65"/>
      <c r="D70" s="65"/>
      <c r="E70" s="65"/>
      <c r="F70" s="65"/>
      <c r="G70" s="65"/>
      <c r="H70" s="64"/>
      <c r="I70" s="74"/>
      <c r="J70" s="73"/>
      <c r="K70" s="73"/>
      <c r="L70" s="73"/>
      <c r="M70" s="73"/>
      <c r="N70" s="73"/>
      <c r="O70" s="82"/>
      <c r="P70" s="74"/>
      <c r="Q70" s="73"/>
      <c r="R70" s="73"/>
      <c r="S70" s="73"/>
      <c r="T70" s="73"/>
      <c r="U70" s="73"/>
      <c r="V70" s="83"/>
      <c r="W70" s="84"/>
      <c r="X70" s="75"/>
      <c r="Y70" s="73"/>
      <c r="Z70" s="73"/>
      <c r="AA70" s="73"/>
      <c r="AB70" s="73"/>
      <c r="AC70" s="73"/>
      <c r="AD70" s="82"/>
      <c r="AE70" s="74"/>
      <c r="AF70" s="73"/>
      <c r="AG70" s="73"/>
      <c r="AH70" s="73"/>
      <c r="AI70" s="73"/>
      <c r="AJ70" s="73"/>
      <c r="AK70" s="73"/>
    </row>
    <row r="71" spans="1:37" s="78" customFormat="1" ht="12.75">
      <c r="A71" s="17"/>
      <c r="B71" s="62"/>
      <c r="C71" s="65"/>
      <c r="D71" s="65"/>
      <c r="E71" s="65"/>
      <c r="F71" s="65"/>
      <c r="G71" s="65"/>
      <c r="H71" s="64"/>
      <c r="I71" s="74"/>
      <c r="J71" s="73"/>
      <c r="K71" s="73"/>
      <c r="L71" s="73"/>
      <c r="M71" s="73"/>
      <c r="N71" s="73"/>
      <c r="O71" s="82"/>
      <c r="P71" s="74"/>
      <c r="Q71" s="73"/>
      <c r="R71" s="73"/>
      <c r="S71" s="73"/>
      <c r="T71" s="73"/>
      <c r="U71" s="73"/>
      <c r="V71" s="83"/>
      <c r="W71" s="84"/>
      <c r="X71" s="75"/>
      <c r="Y71" s="73"/>
      <c r="Z71" s="73"/>
      <c r="AA71" s="73"/>
      <c r="AB71" s="73"/>
      <c r="AC71" s="73"/>
      <c r="AD71" s="82"/>
      <c r="AE71" s="74"/>
      <c r="AF71" s="73"/>
      <c r="AG71" s="73"/>
      <c r="AH71" s="73"/>
      <c r="AI71" s="73"/>
      <c r="AJ71" s="73"/>
      <c r="AK71" s="73"/>
    </row>
    <row r="72" spans="1:37" s="78" customFormat="1" ht="12.75">
      <c r="A72" s="18"/>
      <c r="B72" s="66"/>
      <c r="C72" s="69"/>
      <c r="D72" s="69"/>
      <c r="E72" s="69"/>
      <c r="F72" s="69"/>
      <c r="G72" s="69"/>
      <c r="H72" s="68"/>
      <c r="I72" s="85"/>
      <c r="J72" s="86"/>
      <c r="K72" s="86"/>
      <c r="L72" s="86"/>
      <c r="M72" s="86"/>
      <c r="N72" s="86"/>
      <c r="O72" s="87"/>
      <c r="P72" s="85"/>
      <c r="Q72" s="86"/>
      <c r="R72" s="86"/>
      <c r="S72" s="86"/>
      <c r="T72" s="86"/>
      <c r="U72" s="86"/>
      <c r="V72" s="88"/>
      <c r="W72" s="89"/>
      <c r="X72" s="90"/>
      <c r="Y72" s="86"/>
      <c r="Z72" s="86"/>
      <c r="AA72" s="86"/>
      <c r="AB72" s="86"/>
      <c r="AC72" s="86"/>
      <c r="AD72" s="87"/>
      <c r="AE72" s="85"/>
      <c r="AF72" s="86"/>
      <c r="AG72" s="86"/>
      <c r="AH72" s="86"/>
      <c r="AI72" s="86"/>
      <c r="AJ72" s="86"/>
      <c r="AK72" s="86"/>
    </row>
    <row r="73" spans="1:35" s="78" customFormat="1" ht="12.75">
      <c r="A73" s="1"/>
      <c r="B73" s="91"/>
      <c r="C73" s="91"/>
      <c r="D73" s="91"/>
      <c r="E73" s="91"/>
      <c r="F73" s="91"/>
      <c r="G73" s="91"/>
      <c r="H73" s="91"/>
      <c r="AI73" s="81"/>
    </row>
    <row r="74" spans="1:35" s="78" customFormat="1" ht="12.75">
      <c r="A74" s="1"/>
      <c r="B74" s="91"/>
      <c r="C74" s="91"/>
      <c r="D74" s="91"/>
      <c r="E74" s="91"/>
      <c r="F74" s="91"/>
      <c r="G74" s="91"/>
      <c r="H74" s="91"/>
      <c r="AI74" s="81"/>
    </row>
    <row r="75" spans="1:35" s="78" customFormat="1" ht="12.75">
      <c r="A75" s="1"/>
      <c r="B75" s="91"/>
      <c r="C75" s="91"/>
      <c r="D75" s="91"/>
      <c r="E75" s="91"/>
      <c r="F75" s="91"/>
      <c r="G75" s="91"/>
      <c r="H75" s="91"/>
      <c r="AI75" s="81"/>
    </row>
    <row r="76" spans="1:35" s="78" customFormat="1" ht="12.75">
      <c r="A76" s="1"/>
      <c r="B76" s="91"/>
      <c r="C76" s="91"/>
      <c r="D76" s="91"/>
      <c r="E76" s="91"/>
      <c r="F76" s="91"/>
      <c r="G76" s="91"/>
      <c r="H76" s="91"/>
      <c r="AI76" s="81"/>
    </row>
    <row r="77" spans="1:35" s="78" customFormat="1" ht="12.75">
      <c r="A77" s="1"/>
      <c r="B77" s="91"/>
      <c r="C77" s="91"/>
      <c r="D77" s="91"/>
      <c r="E77" s="91"/>
      <c r="F77" s="91"/>
      <c r="G77" s="91"/>
      <c r="H77" s="91"/>
      <c r="AI77" s="81"/>
    </row>
    <row r="78" spans="1:35" s="78" customFormat="1" ht="12.75">
      <c r="A78" s="1"/>
      <c r="AI78" s="81"/>
    </row>
    <row r="79" spans="1:35" s="78" customFormat="1" ht="12.75">
      <c r="A79" s="1"/>
      <c r="AI79" s="81"/>
    </row>
    <row r="80" spans="1:35" s="78" customFormat="1" ht="12.75">
      <c r="A80" s="1"/>
      <c r="AI80" s="81"/>
    </row>
    <row r="81" spans="1:35" s="78" customFormat="1" ht="12.75">
      <c r="A81" s="1"/>
      <c r="AI81" s="81"/>
    </row>
    <row r="82" spans="1:35" s="78" customFormat="1" ht="12.75">
      <c r="A82" s="1"/>
      <c r="AI82" s="81"/>
    </row>
    <row r="83" spans="1:35" s="78" customFormat="1" ht="12.75">
      <c r="A83" s="1"/>
      <c r="AI83" s="81"/>
    </row>
    <row r="84" spans="1:35" s="78" customFormat="1" ht="12.75">
      <c r="A84" s="1"/>
      <c r="AI84" s="81"/>
    </row>
    <row r="85" spans="1:35" s="78" customFormat="1" ht="12.75">
      <c r="A85" s="1"/>
      <c r="AI85" s="81"/>
    </row>
    <row r="86" spans="1:35" s="78" customFormat="1" ht="12.75">
      <c r="A86" s="1"/>
      <c r="AI86" s="81"/>
    </row>
    <row r="87" spans="1:35" s="78" customFormat="1" ht="12.75">
      <c r="A87" s="1"/>
      <c r="AI87" s="81"/>
    </row>
    <row r="88" spans="1:35" s="78" customFormat="1" ht="12.75">
      <c r="A88" s="1"/>
      <c r="AI88" s="81"/>
    </row>
    <row r="89" spans="1:35" s="78" customFormat="1" ht="12.75">
      <c r="A89" s="1"/>
      <c r="AI89" s="81"/>
    </row>
    <row r="90" spans="1:35" s="78" customFormat="1" ht="12.75">
      <c r="A90" s="1"/>
      <c r="AI90" s="81"/>
    </row>
    <row r="91" spans="1:35" s="78" customFormat="1" ht="12.75">
      <c r="A91" s="1"/>
      <c r="AI91" s="81"/>
    </row>
    <row r="92" spans="1:35" s="78" customFormat="1" ht="12.75">
      <c r="A92" s="1"/>
      <c r="AI92" s="81"/>
    </row>
    <row r="93" spans="1:35" s="78" customFormat="1" ht="12.75">
      <c r="A93" s="1"/>
      <c r="AI93" s="81"/>
    </row>
    <row r="94" spans="1:35" s="78" customFormat="1" ht="12.75">
      <c r="A94" s="1"/>
      <c r="AI94" s="81"/>
    </row>
    <row r="95" spans="1:35" s="78" customFormat="1" ht="12.75">
      <c r="A95" s="1"/>
      <c r="AI95" s="81"/>
    </row>
    <row r="96" spans="1:35" s="78" customFormat="1" ht="12.75">
      <c r="A96" s="1"/>
      <c r="AI96" s="81"/>
    </row>
    <row r="97" ht="12.75">
      <c r="AI97" s="7"/>
    </row>
    <row r="98" ht="12.75">
      <c r="AI98" s="7"/>
    </row>
    <row r="99" ht="12.75">
      <c r="AI99" s="7"/>
    </row>
    <row r="100" ht="12.75">
      <c r="AI100" s="7"/>
    </row>
    <row r="101" ht="12.75">
      <c r="AI101" s="7"/>
    </row>
    <row r="102" ht="12.75">
      <c r="AI102" s="7"/>
    </row>
    <row r="103" ht="12.75">
      <c r="AI103" s="7"/>
    </row>
    <row r="104" ht="12.75">
      <c r="AI104" s="7"/>
    </row>
    <row r="105" ht="12.75">
      <c r="AI105" s="7"/>
    </row>
    <row r="106" ht="12.75">
      <c r="AI106" s="7"/>
    </row>
    <row r="107" ht="12.75">
      <c r="AI107" s="7"/>
    </row>
    <row r="108" ht="12.75">
      <c r="AI108" s="7"/>
    </row>
    <row r="109" ht="12.75">
      <c r="AI109" s="7"/>
    </row>
    <row r="110" ht="12.75">
      <c r="AI110" s="7"/>
    </row>
    <row r="111" ht="12.75">
      <c r="AI111" s="7"/>
    </row>
    <row r="112" ht="12.75">
      <c r="AI112" s="7"/>
    </row>
    <row r="113" ht="12.75">
      <c r="AI113" s="7"/>
    </row>
    <row r="114" ht="12.75">
      <c r="AI114" s="7"/>
    </row>
    <row r="115" ht="12.75">
      <c r="AI115" s="7"/>
    </row>
    <row r="116" ht="12.75">
      <c r="AI116" s="7"/>
    </row>
    <row r="117" ht="12.75">
      <c r="AI117" s="7"/>
    </row>
    <row r="118" ht="12.75">
      <c r="AI118" s="7"/>
    </row>
    <row r="119" ht="12.75">
      <c r="AI119" s="7"/>
    </row>
    <row r="120" ht="12.75">
      <c r="AI120" s="7"/>
    </row>
    <row r="121" ht="12.75">
      <c r="AI121" s="7"/>
    </row>
    <row r="122" ht="12.75">
      <c r="AI122" s="7"/>
    </row>
    <row r="123" ht="12.75">
      <c r="AI123" s="7"/>
    </row>
    <row r="124" ht="12.75">
      <c r="AI124" s="7"/>
    </row>
    <row r="125" ht="12.75">
      <c r="AI125" s="7"/>
    </row>
    <row r="126" ht="12.75">
      <c r="AI126" s="7"/>
    </row>
    <row r="127" ht="12.75">
      <c r="AI127" s="7"/>
    </row>
    <row r="128" ht="12.75">
      <c r="AI128" s="7"/>
    </row>
    <row r="129" ht="12.75">
      <c r="AI129" s="7"/>
    </row>
    <row r="130" ht="12.75">
      <c r="AI130" s="7"/>
    </row>
    <row r="131" ht="12.75">
      <c r="AI131" s="7"/>
    </row>
    <row r="132" ht="12.75">
      <c r="AI132" s="7"/>
    </row>
    <row r="133" ht="12.75">
      <c r="AI133" s="7"/>
    </row>
    <row r="134" ht="12.75">
      <c r="AI134" s="7"/>
    </row>
    <row r="135" ht="12.75">
      <c r="AI135" s="7"/>
    </row>
    <row r="136" ht="12.75">
      <c r="AI136" s="7"/>
    </row>
    <row r="137" ht="12.75">
      <c r="AI137" s="7"/>
    </row>
    <row r="138" ht="12.75">
      <c r="AI138" s="7"/>
    </row>
    <row r="139" ht="12.75">
      <c r="AI139" s="7"/>
    </row>
    <row r="140" ht="12.75">
      <c r="AI140" s="7"/>
    </row>
    <row r="141" ht="12.75">
      <c r="AI141" s="7"/>
    </row>
    <row r="142" ht="12.75">
      <c r="AI142" s="7"/>
    </row>
    <row r="143" ht="12.75">
      <c r="AI143" s="7"/>
    </row>
    <row r="144" ht="12.75">
      <c r="AI144" s="7"/>
    </row>
    <row r="145" ht="12.75">
      <c r="AI145" s="7"/>
    </row>
    <row r="146" ht="12.75">
      <c r="AI146" s="7"/>
    </row>
    <row r="147" ht="12.75">
      <c r="AI147" s="7"/>
    </row>
    <row r="148" ht="12.75">
      <c r="AI148" s="7"/>
    </row>
    <row r="149" ht="12.75">
      <c r="AI149" s="7"/>
    </row>
    <row r="150" ht="12.75">
      <c r="AI150" s="7"/>
    </row>
    <row r="151" ht="12.75">
      <c r="AI151" s="7"/>
    </row>
    <row r="152" ht="12.75">
      <c r="AI152" s="7"/>
    </row>
    <row r="153" ht="12.75">
      <c r="AI153" s="7"/>
    </row>
    <row r="154" ht="12.75">
      <c r="AI154" s="7"/>
    </row>
    <row r="155" ht="12.75">
      <c r="AI155" s="7"/>
    </row>
    <row r="156" ht="12.75">
      <c r="AI156" s="7"/>
    </row>
    <row r="157" ht="12.75">
      <c r="AI157" s="7"/>
    </row>
    <row r="158" ht="12.75">
      <c r="AI158" s="7"/>
    </row>
    <row r="159" ht="12.75">
      <c r="AI159" s="7"/>
    </row>
    <row r="160" ht="12.75">
      <c r="AI160" s="7"/>
    </row>
    <row r="161" ht="12.75">
      <c r="AI161" s="7"/>
    </row>
    <row r="162" ht="12.75">
      <c r="AI162" s="7"/>
    </row>
    <row r="163" ht="12.75">
      <c r="AI163" s="7"/>
    </row>
    <row r="164" ht="12.75">
      <c r="AI164" s="7"/>
    </row>
    <row r="165" ht="12.75">
      <c r="AI165" s="7"/>
    </row>
    <row r="166" ht="12.75">
      <c r="AI166" s="7"/>
    </row>
    <row r="167" ht="12.75">
      <c r="AI167" s="7"/>
    </row>
    <row r="168" ht="12.75">
      <c r="AI168" s="7"/>
    </row>
    <row r="169" ht="12.75">
      <c r="AI169" s="7"/>
    </row>
    <row r="170" ht="12.75">
      <c r="AI170" s="7"/>
    </row>
    <row r="171" ht="12.75">
      <c r="AI171" s="7"/>
    </row>
    <row r="172" ht="12.75">
      <c r="AI172" s="7"/>
    </row>
    <row r="173" ht="12.75">
      <c r="AI173" s="7"/>
    </row>
    <row r="174" ht="12.75">
      <c r="AI174" s="7"/>
    </row>
    <row r="175" ht="12.75">
      <c r="AI175" s="7"/>
    </row>
    <row r="176" ht="12.75">
      <c r="AI176" s="7"/>
    </row>
    <row r="177" ht="12.75">
      <c r="AI177" s="7"/>
    </row>
    <row r="178" ht="12.75">
      <c r="AI178" s="7"/>
    </row>
    <row r="179" ht="12.75">
      <c r="AI179" s="7"/>
    </row>
    <row r="180" ht="12.75">
      <c r="AI180" s="7"/>
    </row>
    <row r="181" ht="12.75">
      <c r="AI181" s="7"/>
    </row>
    <row r="182" ht="12.75">
      <c r="AI182" s="7"/>
    </row>
    <row r="183" ht="12.75">
      <c r="AI183" s="7"/>
    </row>
    <row r="184" ht="12.75">
      <c r="AI184" s="7"/>
    </row>
    <row r="185" ht="12.75">
      <c r="AI185" s="7"/>
    </row>
    <row r="186" ht="12.75">
      <c r="AI186" s="7"/>
    </row>
    <row r="187" ht="12.75">
      <c r="AI187" s="7"/>
    </row>
    <row r="188" ht="12.75">
      <c r="AI188" s="7"/>
    </row>
    <row r="189" ht="12.75">
      <c r="AI189" s="7"/>
    </row>
    <row r="190" ht="12.75">
      <c r="AI190" s="7"/>
    </row>
    <row r="191" ht="12.75">
      <c r="AI191" s="7"/>
    </row>
    <row r="192" ht="12.75">
      <c r="AI192" s="7"/>
    </row>
    <row r="193" ht="12.75">
      <c r="AI193" s="7"/>
    </row>
    <row r="194" ht="12.75">
      <c r="AI194" s="7"/>
    </row>
    <row r="195" ht="12.75">
      <c r="AI195" s="7"/>
    </row>
    <row r="196" ht="12.75">
      <c r="AI196" s="7"/>
    </row>
    <row r="197" ht="12.75">
      <c r="AI197" s="7"/>
    </row>
    <row r="198" ht="12.75">
      <c r="AI198" s="7"/>
    </row>
    <row r="199" ht="12.75">
      <c r="AI199" s="7"/>
    </row>
    <row r="200" ht="12.75">
      <c r="AI200" s="7"/>
    </row>
    <row r="201" ht="12.75">
      <c r="AI201" s="7"/>
    </row>
    <row r="202" ht="12.75">
      <c r="AI202" s="7"/>
    </row>
    <row r="203" ht="12.75">
      <c r="AI203" s="7"/>
    </row>
    <row r="204" ht="12.75">
      <c r="AI204" s="7"/>
    </row>
    <row r="205" ht="12.75">
      <c r="AI205" s="7"/>
    </row>
    <row r="206" ht="12.75">
      <c r="AI206" s="7"/>
    </row>
    <row r="207" ht="12.75">
      <c r="AI207" s="7"/>
    </row>
    <row r="208" ht="12.75">
      <c r="AI208" s="7"/>
    </row>
    <row r="209" ht="12.75">
      <c r="AI209" s="7"/>
    </row>
    <row r="210" ht="12.75">
      <c r="AI210" s="7"/>
    </row>
    <row r="211" ht="12.75">
      <c r="AI211" s="7"/>
    </row>
    <row r="212" ht="12.75">
      <c r="AI212" s="7"/>
    </row>
    <row r="213" ht="12.75">
      <c r="AI213" s="7"/>
    </row>
    <row r="214" ht="12.75">
      <c r="AI214" s="7"/>
    </row>
    <row r="215" ht="12.75">
      <c r="AI215" s="7"/>
    </row>
    <row r="216" ht="12.75">
      <c r="AI216" s="7"/>
    </row>
    <row r="217" ht="12.75">
      <c r="AI217" s="7"/>
    </row>
    <row r="218" ht="12.75">
      <c r="AI218" s="7"/>
    </row>
    <row r="219" ht="12.75">
      <c r="AI219" s="7"/>
    </row>
    <row r="220" ht="12.75">
      <c r="AI220" s="7"/>
    </row>
    <row r="221" ht="12.75">
      <c r="AI221" s="7"/>
    </row>
    <row r="222" ht="12.75">
      <c r="AI222" s="7"/>
    </row>
    <row r="223" ht="12.75">
      <c r="AI223" s="7"/>
    </row>
    <row r="224" ht="12.75">
      <c r="AI224" s="7"/>
    </row>
    <row r="225" ht="12.75">
      <c r="AI225" s="7"/>
    </row>
    <row r="226" ht="12.75">
      <c r="AI226" s="7"/>
    </row>
    <row r="227" ht="12.75">
      <c r="AI227" s="7"/>
    </row>
    <row r="228" ht="12.75">
      <c r="AI228" s="7"/>
    </row>
    <row r="229" ht="12.75">
      <c r="AI229" s="7"/>
    </row>
    <row r="230" ht="12.75">
      <c r="AI230" s="7"/>
    </row>
    <row r="231" ht="12.75">
      <c r="AI231" s="7"/>
    </row>
    <row r="232" ht="12.75">
      <c r="AI232" s="7"/>
    </row>
    <row r="233" ht="12.75">
      <c r="AI233" s="7"/>
    </row>
    <row r="234" ht="12.75">
      <c r="AI234" s="7"/>
    </row>
    <row r="235" ht="12.75">
      <c r="AI235" s="7"/>
    </row>
    <row r="236" ht="12.75">
      <c r="AI236" s="7"/>
    </row>
    <row r="237" ht="12.75">
      <c r="AI237" s="7"/>
    </row>
    <row r="238" ht="12.75">
      <c r="AI238" s="7"/>
    </row>
    <row r="239" ht="12.75">
      <c r="AI239" s="7"/>
    </row>
    <row r="240" ht="12.75">
      <c r="AI240" s="7"/>
    </row>
    <row r="241" ht="12.75">
      <c r="AI241" s="7"/>
    </row>
    <row r="242" ht="12.75">
      <c r="AI242" s="7"/>
    </row>
    <row r="243" ht="12.75">
      <c r="AI243" s="7"/>
    </row>
    <row r="244" ht="12.75">
      <c r="AI244" s="7"/>
    </row>
    <row r="245" ht="12.75">
      <c r="AI245" s="7"/>
    </row>
    <row r="246" ht="12.75">
      <c r="AI246" s="7"/>
    </row>
    <row r="247" ht="12.75">
      <c r="AI247" s="7"/>
    </row>
    <row r="248" ht="12.75">
      <c r="AI248" s="7"/>
    </row>
    <row r="249" ht="12.75">
      <c r="AI249" s="7"/>
    </row>
    <row r="250" ht="12.75">
      <c r="AI250" s="7"/>
    </row>
    <row r="251" ht="12.75">
      <c r="AI251" s="7"/>
    </row>
    <row r="252" ht="12.75">
      <c r="AI252" s="7"/>
    </row>
    <row r="253" ht="12.75">
      <c r="AI253" s="7"/>
    </row>
    <row r="254" ht="12.75">
      <c r="AI254" s="7"/>
    </row>
    <row r="255" ht="12.75">
      <c r="AI255" s="7"/>
    </row>
    <row r="256" ht="12.75">
      <c r="AI256" s="7"/>
    </row>
    <row r="257" ht="12.75">
      <c r="AI257" s="7"/>
    </row>
    <row r="258" ht="12.75">
      <c r="AI258" s="7"/>
    </row>
    <row r="259" ht="12.75">
      <c r="AI259" s="7"/>
    </row>
    <row r="260" ht="12.75">
      <c r="AI260" s="7"/>
    </row>
    <row r="261" ht="12.75">
      <c r="AI261" s="7"/>
    </row>
    <row r="262" ht="12.75">
      <c r="AI262" s="7"/>
    </row>
    <row r="263" ht="12.75">
      <c r="AI263" s="7"/>
    </row>
    <row r="264" ht="12.75">
      <c r="AI264" s="7"/>
    </row>
    <row r="265" ht="12.75">
      <c r="AI265" s="7"/>
    </row>
    <row r="266" ht="12.75">
      <c r="AI266" s="7"/>
    </row>
    <row r="267" ht="12.75">
      <c r="AI267" s="7"/>
    </row>
    <row r="268" ht="12.75">
      <c r="AI268" s="7"/>
    </row>
    <row r="269" ht="12.75">
      <c r="AI269" s="7"/>
    </row>
    <row r="270" ht="12.75">
      <c r="AI270" s="7"/>
    </row>
    <row r="271" ht="12.75">
      <c r="AI271" s="7"/>
    </row>
    <row r="272" ht="12.75">
      <c r="AI272" s="7"/>
    </row>
    <row r="273" ht="12.75">
      <c r="AI273" s="7"/>
    </row>
    <row r="274" ht="12.75">
      <c r="AI274" s="7"/>
    </row>
    <row r="275" ht="12.75">
      <c r="AI275" s="7"/>
    </row>
    <row r="276" ht="12.75">
      <c r="AI276" s="7"/>
    </row>
    <row r="277" ht="12.75">
      <c r="AI277" s="7"/>
    </row>
    <row r="278" ht="12.75">
      <c r="AI278" s="7"/>
    </row>
    <row r="279" ht="12.75">
      <c r="AI279" s="7"/>
    </row>
    <row r="280" ht="12.75">
      <c r="AI280" s="7"/>
    </row>
    <row r="281" ht="12.75">
      <c r="AI281" s="7"/>
    </row>
    <row r="282" ht="12.75">
      <c r="AI282" s="7"/>
    </row>
    <row r="283" ht="12.75">
      <c r="AI283" s="7"/>
    </row>
    <row r="284" ht="12.75">
      <c r="AI284" s="7"/>
    </row>
    <row r="285" ht="12.75">
      <c r="AI285" s="7"/>
    </row>
    <row r="286" ht="12.75">
      <c r="AI286" s="7"/>
    </row>
    <row r="287" ht="12.75">
      <c r="AI287" s="7"/>
    </row>
    <row r="288" ht="12.75">
      <c r="AI288" s="7"/>
    </row>
    <row r="289" ht="12.75">
      <c r="AI289" s="7"/>
    </row>
    <row r="290" ht="12.75">
      <c r="AI290" s="7"/>
    </row>
    <row r="291" ht="12.75">
      <c r="AI291" s="7"/>
    </row>
    <row r="292" ht="12.75">
      <c r="AI292" s="7"/>
    </row>
    <row r="293" ht="12.75">
      <c r="AI293" s="7"/>
    </row>
    <row r="294" ht="12.75">
      <c r="AI294" s="7"/>
    </row>
    <row r="295" ht="12.75">
      <c r="AI295" s="7"/>
    </row>
    <row r="296" ht="12.75">
      <c r="AI296" s="7"/>
    </row>
    <row r="297" ht="12.75">
      <c r="AI297" s="7"/>
    </row>
    <row r="298" ht="12.75">
      <c r="AI298" s="7"/>
    </row>
    <row r="299" ht="12.75">
      <c r="AI299" s="7"/>
    </row>
    <row r="300" ht="12.75">
      <c r="AI300" s="7"/>
    </row>
    <row r="301" ht="12.75">
      <c r="AI301" s="7"/>
    </row>
    <row r="302" ht="12.75">
      <c r="AI302" s="7"/>
    </row>
    <row r="303" ht="12.75">
      <c r="AI303" s="7"/>
    </row>
    <row r="304" ht="12.75">
      <c r="AI304" s="7"/>
    </row>
    <row r="305" ht="12.75">
      <c r="AI305" s="7"/>
    </row>
    <row r="306" ht="12.75">
      <c r="AI306" s="7"/>
    </row>
    <row r="307" ht="12.75">
      <c r="AI307" s="7"/>
    </row>
    <row r="308" ht="12.75">
      <c r="AI308" s="7"/>
    </row>
    <row r="309" ht="12.75">
      <c r="AI309" s="7"/>
    </row>
    <row r="310" ht="12.75">
      <c r="AI310" s="7"/>
    </row>
    <row r="311" ht="12.75">
      <c r="AI311" s="7"/>
    </row>
    <row r="312" ht="12.75">
      <c r="AI312" s="7"/>
    </row>
    <row r="313" ht="12.75">
      <c r="AI313" s="7"/>
    </row>
    <row r="314" ht="12.75">
      <c r="AI314" s="7"/>
    </row>
    <row r="315" ht="12.75">
      <c r="AI315" s="7"/>
    </row>
    <row r="316" ht="12.75">
      <c r="AI316" s="7"/>
    </row>
    <row r="317" ht="12.75">
      <c r="AI317" s="7"/>
    </row>
    <row r="318" ht="12.75">
      <c r="AI318" s="7"/>
    </row>
    <row r="319" ht="12.75">
      <c r="AI319" s="7"/>
    </row>
    <row r="320" ht="12.75">
      <c r="AI320" s="7"/>
    </row>
    <row r="321" ht="12.75">
      <c r="AI321" s="7"/>
    </row>
    <row r="322" ht="12.75">
      <c r="AI322" s="7"/>
    </row>
    <row r="323" ht="12.75">
      <c r="AI323" s="7"/>
    </row>
    <row r="324" ht="12.75">
      <c r="AI324" s="7"/>
    </row>
    <row r="325" ht="12.75">
      <c r="AI325" s="7"/>
    </row>
    <row r="326" ht="12.75">
      <c r="AI326" s="7"/>
    </row>
    <row r="327" ht="12.75">
      <c r="AI327" s="7"/>
    </row>
    <row r="328" ht="12.75">
      <c r="AI328" s="7"/>
    </row>
    <row r="329" ht="12.75">
      <c r="AI329" s="7"/>
    </row>
    <row r="330" ht="12.75">
      <c r="AI330" s="7"/>
    </row>
    <row r="331" ht="12.75">
      <c r="AI331" s="7"/>
    </row>
    <row r="332" ht="12.75">
      <c r="AI332" s="7"/>
    </row>
    <row r="333" ht="12.75">
      <c r="AI333" s="7"/>
    </row>
    <row r="334" ht="12.75">
      <c r="AI334" s="7"/>
    </row>
    <row r="335" ht="12.75">
      <c r="AI335" s="7"/>
    </row>
    <row r="336" ht="12.75">
      <c r="AI336" s="7"/>
    </row>
    <row r="337" ht="12.75">
      <c r="AI337" s="7"/>
    </row>
    <row r="338" ht="12.75">
      <c r="AI338" s="7"/>
    </row>
    <row r="339" ht="12.75">
      <c r="AI339" s="7"/>
    </row>
  </sheetData>
  <sheetProtection/>
  <mergeCells count="5">
    <mergeCell ref="AE1:AK1"/>
    <mergeCell ref="A1:H1"/>
    <mergeCell ref="I1:O1"/>
    <mergeCell ref="P1:V1"/>
    <mergeCell ref="X1:AD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  <colBreaks count="1" manualBreakCount="1"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77"/>
  <sheetViews>
    <sheetView showGridLines="0" showZeros="0" zoomScalePageLayoutView="0" workbookViewId="0" topLeftCell="A1">
      <pane ySplit="1155" topLeftCell="A47" activePane="bottomLeft" state="split"/>
      <selection pane="topLeft" activeCell="B61" sqref="B61"/>
      <selection pane="bottomLeft" activeCell="H59" sqref="H59"/>
    </sheetView>
  </sheetViews>
  <sheetFormatPr defaultColWidth="9.140625" defaultRowHeight="12.75"/>
  <cols>
    <col min="1" max="1" width="5.7109375" style="1" customWidth="1"/>
    <col min="2" max="11" width="9.7109375" style="0" customWidth="1"/>
  </cols>
  <sheetData>
    <row r="1" spans="1:11" s="6" customFormat="1" ht="20.25" customHeight="1">
      <c r="A1" s="16"/>
      <c r="B1" s="389" t="s">
        <v>4</v>
      </c>
      <c r="C1" s="386"/>
      <c r="D1" s="383" t="s">
        <v>5</v>
      </c>
      <c r="E1" s="384"/>
      <c r="F1" s="383" t="s">
        <v>6</v>
      </c>
      <c r="G1" s="386"/>
      <c r="H1" s="383" t="s">
        <v>7</v>
      </c>
      <c r="I1" s="384"/>
      <c r="J1" s="383" t="s">
        <v>8</v>
      </c>
      <c r="K1" s="385"/>
    </row>
    <row r="2" spans="1:11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</row>
    <row r="3" spans="1:11" ht="17.25" customHeight="1" thickTop="1">
      <c r="A3" s="17">
        <v>1964</v>
      </c>
      <c r="B3" s="62"/>
      <c r="C3" s="70"/>
      <c r="D3" s="62"/>
      <c r="E3" s="70"/>
      <c r="F3" s="62"/>
      <c r="G3" s="70"/>
      <c r="H3" s="71"/>
      <c r="I3" s="70"/>
      <c r="J3" s="62"/>
      <c r="K3" s="70"/>
    </row>
    <row r="4" spans="1:11" ht="12.75">
      <c r="A4" s="17">
        <v>1965</v>
      </c>
      <c r="B4" s="62"/>
      <c r="C4" s="63"/>
      <c r="D4" s="62"/>
      <c r="E4" s="64"/>
      <c r="F4" s="62"/>
      <c r="G4" s="64"/>
      <c r="H4" s="62"/>
      <c r="I4" s="64"/>
      <c r="J4" s="62"/>
      <c r="K4" s="65"/>
    </row>
    <row r="5" spans="1:11" ht="12.75">
      <c r="A5" s="17">
        <v>1966</v>
      </c>
      <c r="B5" s="62"/>
      <c r="C5" s="63"/>
      <c r="D5" s="62"/>
      <c r="E5" s="64"/>
      <c r="F5" s="62"/>
      <c r="G5" s="64"/>
      <c r="H5" s="62"/>
      <c r="I5" s="64"/>
      <c r="J5" s="62"/>
      <c r="K5" s="65"/>
    </row>
    <row r="6" spans="1:11" ht="12.75">
      <c r="A6" s="17">
        <v>1967</v>
      </c>
      <c r="B6" s="62"/>
      <c r="C6" s="63"/>
      <c r="D6" s="62"/>
      <c r="E6" s="64"/>
      <c r="F6" s="62"/>
      <c r="G6" s="64"/>
      <c r="H6" s="62"/>
      <c r="I6" s="64"/>
      <c r="J6" s="62"/>
      <c r="K6" s="65"/>
    </row>
    <row r="7" spans="1:11" ht="12.75">
      <c r="A7" s="17">
        <v>1968</v>
      </c>
      <c r="B7" s="62"/>
      <c r="C7" s="63"/>
      <c r="D7" s="62"/>
      <c r="E7" s="64"/>
      <c r="F7" s="62"/>
      <c r="G7" s="64"/>
      <c r="H7" s="62"/>
      <c r="I7" s="64"/>
      <c r="J7" s="62"/>
      <c r="K7" s="65"/>
    </row>
    <row r="8" spans="1:11" ht="12.75">
      <c r="A8" s="17">
        <v>1969</v>
      </c>
      <c r="B8" s="62"/>
      <c r="C8" s="63"/>
      <c r="D8" s="62"/>
      <c r="E8" s="64"/>
      <c r="F8" s="62"/>
      <c r="G8" s="64"/>
      <c r="H8" s="62"/>
      <c r="I8" s="64"/>
      <c r="J8" s="62"/>
      <c r="K8" s="65"/>
    </row>
    <row r="9" spans="1:11" ht="12.75">
      <c r="A9" s="17">
        <v>1970</v>
      </c>
      <c r="B9" s="62"/>
      <c r="C9" s="63"/>
      <c r="D9" s="62"/>
      <c r="E9" s="64"/>
      <c r="F9" s="62"/>
      <c r="G9" s="64"/>
      <c r="H9" s="62"/>
      <c r="I9" s="64"/>
      <c r="J9" s="62"/>
      <c r="K9" s="65"/>
    </row>
    <row r="10" spans="1:11" ht="12.75">
      <c r="A10" s="17">
        <v>1971</v>
      </c>
      <c r="B10" s="62"/>
      <c r="C10" s="63"/>
      <c r="D10" s="62"/>
      <c r="E10" s="64"/>
      <c r="F10" s="62"/>
      <c r="G10" s="64"/>
      <c r="H10" s="62"/>
      <c r="I10" s="64"/>
      <c r="J10" s="62"/>
      <c r="K10" s="65"/>
    </row>
    <row r="11" spans="1:11" ht="12.75">
      <c r="A11" s="17">
        <v>1972</v>
      </c>
      <c r="B11" s="62"/>
      <c r="C11" s="63"/>
      <c r="D11" s="62"/>
      <c r="E11" s="64"/>
      <c r="F11" s="62"/>
      <c r="G11" s="64"/>
      <c r="H11" s="62"/>
      <c r="I11" s="64"/>
      <c r="J11" s="62"/>
      <c r="K11" s="65"/>
    </row>
    <row r="12" spans="1:11" ht="12.75">
      <c r="A12" s="17">
        <v>1973</v>
      </c>
      <c r="B12" s="62"/>
      <c r="C12" s="63"/>
      <c r="D12" s="62"/>
      <c r="E12" s="64"/>
      <c r="F12" s="62"/>
      <c r="G12" s="64"/>
      <c r="H12" s="62"/>
      <c r="I12" s="64"/>
      <c r="J12" s="62"/>
      <c r="K12" s="65"/>
    </row>
    <row r="13" spans="1:11" ht="12.75">
      <c r="A13" s="17">
        <v>1974</v>
      </c>
      <c r="B13" s="62">
        <v>2</v>
      </c>
      <c r="C13" s="63">
        <f>C12+B13</f>
        <v>2</v>
      </c>
      <c r="D13" s="62"/>
      <c r="E13" s="64"/>
      <c r="F13" s="62">
        <v>1</v>
      </c>
      <c r="G13" s="64">
        <f>G12+F13</f>
        <v>1</v>
      </c>
      <c r="H13" s="62"/>
      <c r="I13" s="64"/>
      <c r="J13" s="62">
        <f>B13+D13+F13+H13</f>
        <v>3</v>
      </c>
      <c r="K13" s="65">
        <f>C13+E13+G13+I13</f>
        <v>3</v>
      </c>
    </row>
    <row r="14" spans="1:11" ht="12.75">
      <c r="A14" s="17">
        <v>1975</v>
      </c>
      <c r="B14" s="62">
        <v>2</v>
      </c>
      <c r="C14" s="63">
        <f aca="true" t="shared" si="0" ref="C14:C44">C13+B14</f>
        <v>4</v>
      </c>
      <c r="D14" s="62"/>
      <c r="E14" s="64"/>
      <c r="F14" s="62">
        <v>1</v>
      </c>
      <c r="G14" s="64">
        <f aca="true" t="shared" si="1" ref="G14:G44">G13+F14</f>
        <v>2</v>
      </c>
      <c r="H14" s="62"/>
      <c r="I14" s="64"/>
      <c r="J14" s="62">
        <f aca="true" t="shared" si="2" ref="J14:J43">B14+D14+F14+H14</f>
        <v>3</v>
      </c>
      <c r="K14" s="65">
        <f>K13+J14</f>
        <v>6</v>
      </c>
    </row>
    <row r="15" spans="1:11" ht="12.75">
      <c r="A15" s="17">
        <v>1976</v>
      </c>
      <c r="B15" s="62">
        <v>2</v>
      </c>
      <c r="C15" s="63">
        <f t="shared" si="0"/>
        <v>6</v>
      </c>
      <c r="D15" s="62"/>
      <c r="E15" s="64"/>
      <c r="F15" s="62"/>
      <c r="G15" s="64">
        <f t="shared" si="1"/>
        <v>2</v>
      </c>
      <c r="H15" s="62"/>
      <c r="I15" s="64"/>
      <c r="J15" s="62">
        <f t="shared" si="2"/>
        <v>2</v>
      </c>
      <c r="K15" s="65">
        <f aca="true" t="shared" si="3" ref="K15:K43">K14+J15</f>
        <v>8</v>
      </c>
    </row>
    <row r="16" spans="1:11" ht="12.75">
      <c r="A16" s="17">
        <v>1977</v>
      </c>
      <c r="B16" s="62"/>
      <c r="C16" s="63">
        <f t="shared" si="0"/>
        <v>6</v>
      </c>
      <c r="D16" s="62"/>
      <c r="E16" s="64"/>
      <c r="F16" s="62"/>
      <c r="G16" s="64">
        <f t="shared" si="1"/>
        <v>2</v>
      </c>
      <c r="H16" s="62"/>
      <c r="I16" s="64"/>
      <c r="J16" s="62">
        <f t="shared" si="2"/>
        <v>0</v>
      </c>
      <c r="K16" s="65">
        <f t="shared" si="3"/>
        <v>8</v>
      </c>
    </row>
    <row r="17" spans="1:11" ht="12.75">
      <c r="A17" s="17">
        <v>1978</v>
      </c>
      <c r="B17" s="62">
        <v>2</v>
      </c>
      <c r="C17" s="63">
        <f t="shared" si="0"/>
        <v>8</v>
      </c>
      <c r="D17" s="62"/>
      <c r="E17" s="64"/>
      <c r="F17" s="62"/>
      <c r="G17" s="64">
        <f t="shared" si="1"/>
        <v>2</v>
      </c>
      <c r="H17" s="62"/>
      <c r="I17" s="64"/>
      <c r="J17" s="62">
        <f t="shared" si="2"/>
        <v>2</v>
      </c>
      <c r="K17" s="65">
        <f t="shared" si="3"/>
        <v>10</v>
      </c>
    </row>
    <row r="18" spans="1:11" ht="12.75">
      <c r="A18" s="17">
        <v>1979</v>
      </c>
      <c r="B18" s="62"/>
      <c r="C18" s="63">
        <f t="shared" si="0"/>
        <v>8</v>
      </c>
      <c r="D18" s="62"/>
      <c r="E18" s="64"/>
      <c r="F18" s="62"/>
      <c r="G18" s="64">
        <f t="shared" si="1"/>
        <v>2</v>
      </c>
      <c r="H18" s="62"/>
      <c r="I18" s="64"/>
      <c r="J18" s="62">
        <f t="shared" si="2"/>
        <v>0</v>
      </c>
      <c r="K18" s="65">
        <f t="shared" si="3"/>
        <v>10</v>
      </c>
    </row>
    <row r="19" spans="1:11" ht="12.75">
      <c r="A19" s="17">
        <v>1980</v>
      </c>
      <c r="B19" s="62">
        <v>1</v>
      </c>
      <c r="C19" s="63">
        <f t="shared" si="0"/>
        <v>9</v>
      </c>
      <c r="D19" s="62"/>
      <c r="E19" s="64"/>
      <c r="F19" s="62"/>
      <c r="G19" s="64">
        <f t="shared" si="1"/>
        <v>2</v>
      </c>
      <c r="H19" s="62"/>
      <c r="I19" s="64"/>
      <c r="J19" s="62">
        <f t="shared" si="2"/>
        <v>1</v>
      </c>
      <c r="K19" s="65">
        <f t="shared" si="3"/>
        <v>11</v>
      </c>
    </row>
    <row r="20" spans="1:11" ht="12.75">
      <c r="A20" s="17">
        <v>1981</v>
      </c>
      <c r="B20" s="62">
        <v>6</v>
      </c>
      <c r="C20" s="63">
        <f t="shared" si="0"/>
        <v>15</v>
      </c>
      <c r="D20" s="62"/>
      <c r="E20" s="64"/>
      <c r="F20" s="62"/>
      <c r="G20" s="64">
        <f t="shared" si="1"/>
        <v>2</v>
      </c>
      <c r="H20" s="62"/>
      <c r="I20" s="64"/>
      <c r="J20" s="62">
        <f t="shared" si="2"/>
        <v>6</v>
      </c>
      <c r="K20" s="65">
        <f t="shared" si="3"/>
        <v>17</v>
      </c>
    </row>
    <row r="21" spans="1:11" ht="12.75">
      <c r="A21" s="17">
        <v>1982</v>
      </c>
      <c r="B21" s="62">
        <v>5</v>
      </c>
      <c r="C21" s="63">
        <f t="shared" si="0"/>
        <v>20</v>
      </c>
      <c r="D21" s="62"/>
      <c r="E21" s="64"/>
      <c r="F21" s="62"/>
      <c r="G21" s="64">
        <f t="shared" si="1"/>
        <v>2</v>
      </c>
      <c r="H21" s="62"/>
      <c r="I21" s="64"/>
      <c r="J21" s="62">
        <f t="shared" si="2"/>
        <v>5</v>
      </c>
      <c r="K21" s="65">
        <f t="shared" si="3"/>
        <v>22</v>
      </c>
    </row>
    <row r="22" spans="1:11" ht="12.75">
      <c r="A22" s="17">
        <v>1983</v>
      </c>
      <c r="B22" s="62">
        <v>10</v>
      </c>
      <c r="C22" s="63">
        <f t="shared" si="0"/>
        <v>30</v>
      </c>
      <c r="D22" s="62"/>
      <c r="E22" s="64"/>
      <c r="F22" s="62"/>
      <c r="G22" s="64">
        <f t="shared" si="1"/>
        <v>2</v>
      </c>
      <c r="H22" s="62"/>
      <c r="I22" s="64"/>
      <c r="J22" s="62">
        <f t="shared" si="2"/>
        <v>10</v>
      </c>
      <c r="K22" s="65">
        <f t="shared" si="3"/>
        <v>32</v>
      </c>
    </row>
    <row r="23" spans="1:11" ht="12.75">
      <c r="A23" s="17">
        <v>1984</v>
      </c>
      <c r="B23" s="62">
        <v>15</v>
      </c>
      <c r="C23" s="63">
        <f t="shared" si="0"/>
        <v>45</v>
      </c>
      <c r="D23" s="62"/>
      <c r="E23" s="64"/>
      <c r="F23" s="62"/>
      <c r="G23" s="64">
        <f t="shared" si="1"/>
        <v>2</v>
      </c>
      <c r="H23" s="62"/>
      <c r="I23" s="64"/>
      <c r="J23" s="62">
        <f t="shared" si="2"/>
        <v>15</v>
      </c>
      <c r="K23" s="65">
        <f t="shared" si="3"/>
        <v>47</v>
      </c>
    </row>
    <row r="24" spans="1:11" ht="12.75">
      <c r="A24" s="17">
        <v>1985</v>
      </c>
      <c r="B24" s="62">
        <v>16</v>
      </c>
      <c r="C24" s="63">
        <f t="shared" si="0"/>
        <v>61</v>
      </c>
      <c r="D24" s="62"/>
      <c r="E24" s="64"/>
      <c r="F24" s="62">
        <v>2</v>
      </c>
      <c r="G24" s="64">
        <f t="shared" si="1"/>
        <v>4</v>
      </c>
      <c r="H24" s="62">
        <v>2</v>
      </c>
      <c r="I24" s="64">
        <f>I23+H24</f>
        <v>2</v>
      </c>
      <c r="J24" s="62">
        <f t="shared" si="2"/>
        <v>20</v>
      </c>
      <c r="K24" s="65">
        <f t="shared" si="3"/>
        <v>67</v>
      </c>
    </row>
    <row r="25" spans="1:11" ht="12.75">
      <c r="A25" s="17">
        <v>1986</v>
      </c>
      <c r="B25" s="62">
        <v>20</v>
      </c>
      <c r="C25" s="63">
        <f t="shared" si="0"/>
        <v>81</v>
      </c>
      <c r="D25" s="62">
        <v>5</v>
      </c>
      <c r="E25" s="64">
        <f>E24+D25</f>
        <v>5</v>
      </c>
      <c r="F25" s="62">
        <v>9</v>
      </c>
      <c r="G25" s="64">
        <f t="shared" si="1"/>
        <v>13</v>
      </c>
      <c r="H25" s="62">
        <v>2</v>
      </c>
      <c r="I25" s="64">
        <f aca="true" t="shared" si="4" ref="I25:I44">I24+H25</f>
        <v>4</v>
      </c>
      <c r="J25" s="62">
        <f t="shared" si="2"/>
        <v>36</v>
      </c>
      <c r="K25" s="65">
        <f t="shared" si="3"/>
        <v>103</v>
      </c>
    </row>
    <row r="26" spans="1:11" ht="12.75">
      <c r="A26" s="17">
        <v>1987</v>
      </c>
      <c r="B26" s="62">
        <v>23</v>
      </c>
      <c r="C26" s="63">
        <f t="shared" si="0"/>
        <v>104</v>
      </c>
      <c r="D26" s="62">
        <v>8</v>
      </c>
      <c r="E26" s="64">
        <f aca="true" t="shared" si="5" ref="E26:E44">E25+D26</f>
        <v>13</v>
      </c>
      <c r="F26" s="62">
        <v>13</v>
      </c>
      <c r="G26" s="64">
        <f t="shared" si="1"/>
        <v>26</v>
      </c>
      <c r="H26" s="62"/>
      <c r="I26" s="64">
        <f t="shared" si="4"/>
        <v>4</v>
      </c>
      <c r="J26" s="62">
        <f t="shared" si="2"/>
        <v>44</v>
      </c>
      <c r="K26" s="65">
        <f t="shared" si="3"/>
        <v>147</v>
      </c>
    </row>
    <row r="27" spans="1:11" ht="12.75">
      <c r="A27" s="17">
        <v>1988</v>
      </c>
      <c r="B27" s="62">
        <v>14</v>
      </c>
      <c r="C27" s="63">
        <f t="shared" si="0"/>
        <v>118</v>
      </c>
      <c r="D27" s="62">
        <v>8</v>
      </c>
      <c r="E27" s="64">
        <f t="shared" si="5"/>
        <v>21</v>
      </c>
      <c r="F27" s="62">
        <v>17</v>
      </c>
      <c r="G27" s="64">
        <f t="shared" si="1"/>
        <v>43</v>
      </c>
      <c r="H27" s="62">
        <v>1</v>
      </c>
      <c r="I27" s="64">
        <f t="shared" si="4"/>
        <v>5</v>
      </c>
      <c r="J27" s="62">
        <f t="shared" si="2"/>
        <v>40</v>
      </c>
      <c r="K27" s="65">
        <f t="shared" si="3"/>
        <v>187</v>
      </c>
    </row>
    <row r="28" spans="1:11" ht="12.75">
      <c r="A28" s="17">
        <v>1989</v>
      </c>
      <c r="B28" s="62">
        <v>7</v>
      </c>
      <c r="C28" s="63">
        <f t="shared" si="0"/>
        <v>125</v>
      </c>
      <c r="D28" s="62">
        <v>3</v>
      </c>
      <c r="E28" s="64">
        <f t="shared" si="5"/>
        <v>24</v>
      </c>
      <c r="F28" s="62">
        <v>15</v>
      </c>
      <c r="G28" s="64">
        <f t="shared" si="1"/>
        <v>58</v>
      </c>
      <c r="H28" s="62">
        <v>4</v>
      </c>
      <c r="I28" s="64">
        <f t="shared" si="4"/>
        <v>9</v>
      </c>
      <c r="J28" s="62">
        <f t="shared" si="2"/>
        <v>29</v>
      </c>
      <c r="K28" s="65">
        <f t="shared" si="3"/>
        <v>216</v>
      </c>
    </row>
    <row r="29" spans="1:11" ht="12.75">
      <c r="A29" s="17">
        <v>1990</v>
      </c>
      <c r="B29" s="62">
        <v>7</v>
      </c>
      <c r="C29" s="63">
        <f t="shared" si="0"/>
        <v>132</v>
      </c>
      <c r="D29" s="62">
        <v>8</v>
      </c>
      <c r="E29" s="64">
        <f t="shared" si="5"/>
        <v>32</v>
      </c>
      <c r="F29" s="62">
        <v>9</v>
      </c>
      <c r="G29" s="64">
        <f t="shared" si="1"/>
        <v>67</v>
      </c>
      <c r="H29" s="62">
        <v>5</v>
      </c>
      <c r="I29" s="64">
        <f t="shared" si="4"/>
        <v>14</v>
      </c>
      <c r="J29" s="62">
        <f t="shared" si="2"/>
        <v>29</v>
      </c>
      <c r="K29" s="65">
        <f t="shared" si="3"/>
        <v>245</v>
      </c>
    </row>
    <row r="30" spans="1:11" ht="12.75">
      <c r="A30" s="17">
        <v>1991</v>
      </c>
      <c r="B30" s="62">
        <v>3</v>
      </c>
      <c r="C30" s="63">
        <f t="shared" si="0"/>
        <v>135</v>
      </c>
      <c r="D30" s="62">
        <v>8</v>
      </c>
      <c r="E30" s="64">
        <f t="shared" si="5"/>
        <v>40</v>
      </c>
      <c r="F30" s="62">
        <v>12</v>
      </c>
      <c r="G30" s="64">
        <f t="shared" si="1"/>
        <v>79</v>
      </c>
      <c r="H30" s="62">
        <v>4</v>
      </c>
      <c r="I30" s="64">
        <f t="shared" si="4"/>
        <v>18</v>
      </c>
      <c r="J30" s="62">
        <f t="shared" si="2"/>
        <v>27</v>
      </c>
      <c r="K30" s="65">
        <f t="shared" si="3"/>
        <v>272</v>
      </c>
    </row>
    <row r="31" spans="1:11" ht="12.75">
      <c r="A31" s="17">
        <v>1992</v>
      </c>
      <c r="B31" s="62">
        <v>6</v>
      </c>
      <c r="C31" s="63">
        <f t="shared" si="0"/>
        <v>141</v>
      </c>
      <c r="D31" s="62">
        <v>5</v>
      </c>
      <c r="E31" s="64">
        <f t="shared" si="5"/>
        <v>45</v>
      </c>
      <c r="F31" s="62">
        <v>7</v>
      </c>
      <c r="G31" s="64">
        <f t="shared" si="1"/>
        <v>86</v>
      </c>
      <c r="H31" s="62">
        <v>1</v>
      </c>
      <c r="I31" s="64">
        <f t="shared" si="4"/>
        <v>19</v>
      </c>
      <c r="J31" s="62">
        <f t="shared" si="2"/>
        <v>19</v>
      </c>
      <c r="K31" s="65">
        <f t="shared" si="3"/>
        <v>291</v>
      </c>
    </row>
    <row r="32" spans="1:11" ht="12.75">
      <c r="A32" s="17">
        <v>1993</v>
      </c>
      <c r="B32" s="62">
        <v>5</v>
      </c>
      <c r="C32" s="63">
        <f t="shared" si="0"/>
        <v>146</v>
      </c>
      <c r="D32" s="62">
        <v>4</v>
      </c>
      <c r="E32" s="64">
        <f t="shared" si="5"/>
        <v>49</v>
      </c>
      <c r="F32" s="62">
        <v>7</v>
      </c>
      <c r="G32" s="64">
        <f t="shared" si="1"/>
        <v>93</v>
      </c>
      <c r="H32" s="62">
        <v>3</v>
      </c>
      <c r="I32" s="64">
        <f t="shared" si="4"/>
        <v>22</v>
      </c>
      <c r="J32" s="62">
        <f t="shared" si="2"/>
        <v>19</v>
      </c>
      <c r="K32" s="65">
        <f t="shared" si="3"/>
        <v>310</v>
      </c>
    </row>
    <row r="33" spans="1:11" ht="12.75">
      <c r="A33" s="17">
        <v>1994</v>
      </c>
      <c r="B33" s="62">
        <v>4</v>
      </c>
      <c r="C33" s="63">
        <f t="shared" si="0"/>
        <v>150</v>
      </c>
      <c r="D33" s="62"/>
      <c r="E33" s="64">
        <f t="shared" si="5"/>
        <v>49</v>
      </c>
      <c r="F33" s="62">
        <v>4</v>
      </c>
      <c r="G33" s="64">
        <f t="shared" si="1"/>
        <v>97</v>
      </c>
      <c r="H33" s="62">
        <v>2</v>
      </c>
      <c r="I33" s="64">
        <f t="shared" si="4"/>
        <v>24</v>
      </c>
      <c r="J33" s="62">
        <f t="shared" si="2"/>
        <v>10</v>
      </c>
      <c r="K33" s="65">
        <f t="shared" si="3"/>
        <v>320</v>
      </c>
    </row>
    <row r="34" spans="1:11" ht="12.75">
      <c r="A34" s="17">
        <v>1995</v>
      </c>
      <c r="B34" s="62">
        <v>6</v>
      </c>
      <c r="C34" s="63">
        <f t="shared" si="0"/>
        <v>156</v>
      </c>
      <c r="D34" s="62">
        <v>5</v>
      </c>
      <c r="E34" s="64">
        <f t="shared" si="5"/>
        <v>54</v>
      </c>
      <c r="F34" s="62">
        <v>3</v>
      </c>
      <c r="G34" s="64">
        <f t="shared" si="1"/>
        <v>100</v>
      </c>
      <c r="H34" s="62">
        <v>1</v>
      </c>
      <c r="I34" s="64">
        <f t="shared" si="4"/>
        <v>25</v>
      </c>
      <c r="J34" s="62">
        <f t="shared" si="2"/>
        <v>15</v>
      </c>
      <c r="K34" s="65">
        <f t="shared" si="3"/>
        <v>335</v>
      </c>
    </row>
    <row r="35" spans="1:11" ht="12.75">
      <c r="A35" s="17">
        <v>1996</v>
      </c>
      <c r="B35" s="62">
        <v>2</v>
      </c>
      <c r="C35" s="63">
        <f t="shared" si="0"/>
        <v>158</v>
      </c>
      <c r="D35" s="62">
        <v>2</v>
      </c>
      <c r="E35" s="64">
        <f t="shared" si="5"/>
        <v>56</v>
      </c>
      <c r="F35" s="62">
        <v>2</v>
      </c>
      <c r="G35" s="64">
        <f t="shared" si="1"/>
        <v>102</v>
      </c>
      <c r="H35" s="62">
        <v>1</v>
      </c>
      <c r="I35" s="64">
        <f t="shared" si="4"/>
        <v>26</v>
      </c>
      <c r="J35" s="62">
        <f t="shared" si="2"/>
        <v>7</v>
      </c>
      <c r="K35" s="65">
        <f t="shared" si="3"/>
        <v>342</v>
      </c>
    </row>
    <row r="36" spans="1:11" ht="12.75">
      <c r="A36" s="17">
        <v>1997</v>
      </c>
      <c r="B36" s="62">
        <v>4</v>
      </c>
      <c r="C36" s="63">
        <f t="shared" si="0"/>
        <v>162</v>
      </c>
      <c r="D36" s="62">
        <v>2</v>
      </c>
      <c r="E36" s="64">
        <f t="shared" si="5"/>
        <v>58</v>
      </c>
      <c r="F36" s="62">
        <v>2</v>
      </c>
      <c r="G36" s="64">
        <f t="shared" si="1"/>
        <v>104</v>
      </c>
      <c r="H36" s="62">
        <v>1</v>
      </c>
      <c r="I36" s="64">
        <f t="shared" si="4"/>
        <v>27</v>
      </c>
      <c r="J36" s="62">
        <f t="shared" si="2"/>
        <v>9</v>
      </c>
      <c r="K36" s="65">
        <f t="shared" si="3"/>
        <v>351</v>
      </c>
    </row>
    <row r="37" spans="1:11" ht="12.75">
      <c r="A37" s="17">
        <v>1998</v>
      </c>
      <c r="B37" s="62">
        <v>5</v>
      </c>
      <c r="C37" s="63">
        <f t="shared" si="0"/>
        <v>167</v>
      </c>
      <c r="D37" s="62">
        <v>3</v>
      </c>
      <c r="E37" s="64">
        <f t="shared" si="5"/>
        <v>61</v>
      </c>
      <c r="F37" s="62">
        <v>2</v>
      </c>
      <c r="G37" s="64">
        <f t="shared" si="1"/>
        <v>106</v>
      </c>
      <c r="H37" s="62"/>
      <c r="I37" s="64">
        <f t="shared" si="4"/>
        <v>27</v>
      </c>
      <c r="J37" s="62">
        <f t="shared" si="2"/>
        <v>10</v>
      </c>
      <c r="K37" s="65">
        <f t="shared" si="3"/>
        <v>361</v>
      </c>
    </row>
    <row r="38" spans="1:11" ht="12.75">
      <c r="A38" s="18">
        <v>1999</v>
      </c>
      <c r="B38" s="66">
        <v>3</v>
      </c>
      <c r="C38" s="67">
        <f t="shared" si="0"/>
        <v>170</v>
      </c>
      <c r="D38" s="66">
        <v>3</v>
      </c>
      <c r="E38" s="68">
        <f t="shared" si="5"/>
        <v>64</v>
      </c>
      <c r="F38" s="66">
        <v>1</v>
      </c>
      <c r="G38" s="68">
        <f t="shared" si="1"/>
        <v>107</v>
      </c>
      <c r="H38" s="66"/>
      <c r="I38" s="68">
        <f t="shared" si="4"/>
        <v>27</v>
      </c>
      <c r="J38" s="66">
        <f t="shared" si="2"/>
        <v>7</v>
      </c>
      <c r="K38" s="69">
        <f t="shared" si="3"/>
        <v>368</v>
      </c>
    </row>
    <row r="39" spans="1:11" s="7" customFormat="1" ht="18.75" customHeight="1">
      <c r="A39" s="17">
        <v>2000</v>
      </c>
      <c r="B39" s="62">
        <v>2</v>
      </c>
      <c r="C39" s="63">
        <f t="shared" si="0"/>
        <v>172</v>
      </c>
      <c r="D39" s="62">
        <v>4</v>
      </c>
      <c r="E39" s="64">
        <f t="shared" si="5"/>
        <v>68</v>
      </c>
      <c r="F39" s="62">
        <v>3</v>
      </c>
      <c r="G39" s="64">
        <f t="shared" si="1"/>
        <v>110</v>
      </c>
      <c r="H39" s="62"/>
      <c r="I39" s="64">
        <f t="shared" si="4"/>
        <v>27</v>
      </c>
      <c r="J39" s="62">
        <f t="shared" si="2"/>
        <v>9</v>
      </c>
      <c r="K39" s="65">
        <f t="shared" si="3"/>
        <v>377</v>
      </c>
    </row>
    <row r="40" spans="1:11" ht="12.75">
      <c r="A40" s="17">
        <v>2001</v>
      </c>
      <c r="B40" s="62">
        <v>2</v>
      </c>
      <c r="C40" s="63">
        <f t="shared" si="0"/>
        <v>174</v>
      </c>
      <c r="D40" s="62">
        <v>5</v>
      </c>
      <c r="E40" s="64">
        <f t="shared" si="5"/>
        <v>73</v>
      </c>
      <c r="F40" s="62">
        <v>3</v>
      </c>
      <c r="G40" s="64">
        <f t="shared" si="1"/>
        <v>113</v>
      </c>
      <c r="H40" s="62"/>
      <c r="I40" s="64">
        <f t="shared" si="4"/>
        <v>27</v>
      </c>
      <c r="J40" s="62">
        <f t="shared" si="2"/>
        <v>10</v>
      </c>
      <c r="K40" s="65">
        <f t="shared" si="3"/>
        <v>387</v>
      </c>
    </row>
    <row r="41" spans="1:11" ht="12.75">
      <c r="A41" s="17">
        <v>2002</v>
      </c>
      <c r="B41" s="62">
        <v>1</v>
      </c>
      <c r="C41" s="63">
        <f t="shared" si="0"/>
        <v>175</v>
      </c>
      <c r="D41" s="62">
        <v>3</v>
      </c>
      <c r="E41" s="64">
        <f t="shared" si="5"/>
        <v>76</v>
      </c>
      <c r="F41" s="62">
        <v>4</v>
      </c>
      <c r="G41" s="64">
        <f t="shared" si="1"/>
        <v>117</v>
      </c>
      <c r="H41" s="62">
        <v>1</v>
      </c>
      <c r="I41" s="64">
        <f t="shared" si="4"/>
        <v>28</v>
      </c>
      <c r="J41" s="62">
        <f t="shared" si="2"/>
        <v>9</v>
      </c>
      <c r="K41" s="65">
        <f t="shared" si="3"/>
        <v>396</v>
      </c>
    </row>
    <row r="42" spans="1:11" ht="12.75">
      <c r="A42" s="17">
        <v>2003</v>
      </c>
      <c r="B42" s="62">
        <v>1</v>
      </c>
      <c r="C42" s="63">
        <f t="shared" si="0"/>
        <v>176</v>
      </c>
      <c r="D42" s="62">
        <v>7</v>
      </c>
      <c r="E42" s="64">
        <f t="shared" si="5"/>
        <v>83</v>
      </c>
      <c r="F42" s="62">
        <v>2</v>
      </c>
      <c r="G42" s="64">
        <f t="shared" si="1"/>
        <v>119</v>
      </c>
      <c r="H42" s="62"/>
      <c r="I42" s="64">
        <f t="shared" si="4"/>
        <v>28</v>
      </c>
      <c r="J42" s="62">
        <f t="shared" si="2"/>
        <v>10</v>
      </c>
      <c r="K42" s="65">
        <f t="shared" si="3"/>
        <v>406</v>
      </c>
    </row>
    <row r="43" spans="1:11" ht="12.75">
      <c r="A43" s="17">
        <v>2004</v>
      </c>
      <c r="B43" s="62">
        <v>3</v>
      </c>
      <c r="C43" s="144">
        <f t="shared" si="0"/>
        <v>179</v>
      </c>
      <c r="D43" s="62">
        <f>1+1</f>
        <v>2</v>
      </c>
      <c r="E43" s="64">
        <f t="shared" si="5"/>
        <v>85</v>
      </c>
      <c r="F43" s="62">
        <v>3</v>
      </c>
      <c r="G43" s="64">
        <f t="shared" si="1"/>
        <v>122</v>
      </c>
      <c r="H43" s="62"/>
      <c r="I43" s="64">
        <f t="shared" si="4"/>
        <v>28</v>
      </c>
      <c r="J43" s="62">
        <f t="shared" si="2"/>
        <v>8</v>
      </c>
      <c r="K43" s="65">
        <f t="shared" si="3"/>
        <v>414</v>
      </c>
    </row>
    <row r="44" spans="1:11" s="78" customFormat="1" ht="12.75">
      <c r="A44" s="17">
        <v>2005</v>
      </c>
      <c r="B44" s="62">
        <f>0+0+0+1</f>
        <v>1</v>
      </c>
      <c r="C44" s="144">
        <f t="shared" si="0"/>
        <v>180</v>
      </c>
      <c r="D44" s="62">
        <f>0+2+1+1</f>
        <v>4</v>
      </c>
      <c r="E44" s="64">
        <f t="shared" si="5"/>
        <v>89</v>
      </c>
      <c r="F44" s="74">
        <f>1+0+1+0</f>
        <v>2</v>
      </c>
      <c r="G44" s="64">
        <f t="shared" si="1"/>
        <v>124</v>
      </c>
      <c r="H44" s="154">
        <f aca="true" t="shared" si="6" ref="H44:H49">0+0+0+0</f>
        <v>0</v>
      </c>
      <c r="I44" s="145">
        <f t="shared" si="4"/>
        <v>28</v>
      </c>
      <c r="J44" s="62">
        <f aca="true" t="shared" si="7" ref="J44:J49">B44+D44+F44+H44</f>
        <v>7</v>
      </c>
      <c r="K44" s="65">
        <f aca="true" t="shared" si="8" ref="K44:K49">K43+J44</f>
        <v>421</v>
      </c>
    </row>
    <row r="45" spans="1:11" s="78" customFormat="1" ht="12.75">
      <c r="A45" s="17">
        <v>2006</v>
      </c>
      <c r="B45" s="62">
        <f>0+0+0+0</f>
        <v>0</v>
      </c>
      <c r="C45" s="144">
        <f aca="true" t="shared" si="9" ref="C45:C50">C44+B45</f>
        <v>180</v>
      </c>
      <c r="D45" s="62">
        <f>1+0+3+2</f>
        <v>6</v>
      </c>
      <c r="E45" s="64">
        <f aca="true" t="shared" si="10" ref="E45:E50">E44+D45</f>
        <v>95</v>
      </c>
      <c r="F45" s="74">
        <f>0+0+0+0</f>
        <v>0</v>
      </c>
      <c r="G45" s="64">
        <f aca="true" t="shared" si="11" ref="G45:G50">G44+F45</f>
        <v>124</v>
      </c>
      <c r="H45" s="154">
        <f t="shared" si="6"/>
        <v>0</v>
      </c>
      <c r="I45" s="145">
        <f aca="true" t="shared" si="12" ref="I45:I50">I44+H45</f>
        <v>28</v>
      </c>
      <c r="J45" s="62">
        <f t="shared" si="7"/>
        <v>6</v>
      </c>
      <c r="K45" s="65">
        <f t="shared" si="8"/>
        <v>427</v>
      </c>
    </row>
    <row r="46" spans="1:11" s="78" customFormat="1" ht="12.75">
      <c r="A46" s="17">
        <v>2007</v>
      </c>
      <c r="B46" s="62">
        <f>0+1+0+0</f>
        <v>1</v>
      </c>
      <c r="C46" s="144">
        <f t="shared" si="9"/>
        <v>181</v>
      </c>
      <c r="D46" s="62">
        <f>3+2+3+0</f>
        <v>8</v>
      </c>
      <c r="E46" s="64">
        <f t="shared" si="10"/>
        <v>103</v>
      </c>
      <c r="F46" s="74">
        <f>0+0+1+0</f>
        <v>1</v>
      </c>
      <c r="G46" s="64">
        <f t="shared" si="11"/>
        <v>125</v>
      </c>
      <c r="H46" s="154">
        <f t="shared" si="6"/>
        <v>0</v>
      </c>
      <c r="I46" s="145">
        <f t="shared" si="12"/>
        <v>28</v>
      </c>
      <c r="J46" s="62">
        <f t="shared" si="7"/>
        <v>10</v>
      </c>
      <c r="K46" s="65">
        <f t="shared" si="8"/>
        <v>437</v>
      </c>
    </row>
    <row r="47" spans="1:11" s="78" customFormat="1" ht="12.75">
      <c r="A47" s="17">
        <v>2008</v>
      </c>
      <c r="B47" s="62">
        <f>1+0+1+1</f>
        <v>3</v>
      </c>
      <c r="C47" s="144">
        <f t="shared" si="9"/>
        <v>184</v>
      </c>
      <c r="D47" s="62">
        <f>1+0+3+3</f>
        <v>7</v>
      </c>
      <c r="E47" s="64">
        <f t="shared" si="10"/>
        <v>110</v>
      </c>
      <c r="F47" s="74">
        <f>0+0+0+0</f>
        <v>0</v>
      </c>
      <c r="G47" s="64">
        <f t="shared" si="11"/>
        <v>125</v>
      </c>
      <c r="H47" s="154">
        <f t="shared" si="6"/>
        <v>0</v>
      </c>
      <c r="I47" s="145">
        <f t="shared" si="12"/>
        <v>28</v>
      </c>
      <c r="J47" s="62">
        <f t="shared" si="7"/>
        <v>10</v>
      </c>
      <c r="K47" s="65">
        <f t="shared" si="8"/>
        <v>447</v>
      </c>
    </row>
    <row r="48" spans="1:11" s="78" customFormat="1" ht="12.75">
      <c r="A48" s="17">
        <v>2009</v>
      </c>
      <c r="B48" s="62">
        <f>1+1+0+2</f>
        <v>4</v>
      </c>
      <c r="C48" s="144">
        <f t="shared" si="9"/>
        <v>188</v>
      </c>
      <c r="D48" s="62">
        <f>2+3+5+0</f>
        <v>10</v>
      </c>
      <c r="E48" s="64">
        <f t="shared" si="10"/>
        <v>120</v>
      </c>
      <c r="F48" s="153">
        <f>1+2+1+2</f>
        <v>6</v>
      </c>
      <c r="G48" s="64">
        <f t="shared" si="11"/>
        <v>131</v>
      </c>
      <c r="H48" s="154">
        <f t="shared" si="6"/>
        <v>0</v>
      </c>
      <c r="I48" s="145">
        <f t="shared" si="12"/>
        <v>28</v>
      </c>
      <c r="J48" s="62">
        <f t="shared" si="7"/>
        <v>20</v>
      </c>
      <c r="K48" s="65">
        <f t="shared" si="8"/>
        <v>467</v>
      </c>
    </row>
    <row r="49" spans="1:11" s="78" customFormat="1" ht="12.75">
      <c r="A49" s="17">
        <v>2010</v>
      </c>
      <c r="B49" s="62">
        <f>1+0+0+0</f>
        <v>1</v>
      </c>
      <c r="C49" s="144">
        <f t="shared" si="9"/>
        <v>189</v>
      </c>
      <c r="D49" s="62">
        <f>4+3+5+3</f>
        <v>15</v>
      </c>
      <c r="E49" s="64">
        <f t="shared" si="10"/>
        <v>135</v>
      </c>
      <c r="F49" s="153">
        <f>2+2+5+1</f>
        <v>10</v>
      </c>
      <c r="G49" s="64">
        <f t="shared" si="11"/>
        <v>141</v>
      </c>
      <c r="H49" s="154">
        <f t="shared" si="6"/>
        <v>0</v>
      </c>
      <c r="I49" s="145">
        <f t="shared" si="12"/>
        <v>28</v>
      </c>
      <c r="J49" s="62">
        <f t="shared" si="7"/>
        <v>26</v>
      </c>
      <c r="K49" s="65">
        <f t="shared" si="8"/>
        <v>493</v>
      </c>
    </row>
    <row r="50" spans="1:11" s="179" customFormat="1" ht="12.75">
      <c r="A50" s="171">
        <v>2011</v>
      </c>
      <c r="B50" s="175">
        <f>0+2+2+1</f>
        <v>5</v>
      </c>
      <c r="C50" s="180">
        <f t="shared" si="9"/>
        <v>194</v>
      </c>
      <c r="D50" s="175">
        <f>5+8+2+7</f>
        <v>22</v>
      </c>
      <c r="E50" s="140">
        <f t="shared" si="10"/>
        <v>157</v>
      </c>
      <c r="F50" s="174">
        <f>0+2+4+2</f>
        <v>8</v>
      </c>
      <c r="G50" s="140">
        <f t="shared" si="11"/>
        <v>149</v>
      </c>
      <c r="H50" s="181">
        <f>0+0</f>
        <v>0</v>
      </c>
      <c r="I50" s="169">
        <f t="shared" si="12"/>
        <v>28</v>
      </c>
      <c r="J50" s="175">
        <f aca="true" t="shared" si="13" ref="J50:J55">B50+D50+F50+H50</f>
        <v>35</v>
      </c>
      <c r="K50" s="147">
        <f aca="true" t="shared" si="14" ref="K50:K55">K49+J50</f>
        <v>528</v>
      </c>
    </row>
    <row r="51" spans="1:11" s="179" customFormat="1" ht="12.75">
      <c r="A51" s="171">
        <v>2012</v>
      </c>
      <c r="B51" s="175">
        <f>0+1+0+1+1</f>
        <v>3</v>
      </c>
      <c r="C51" s="180">
        <f aca="true" t="shared" si="15" ref="C51:C56">C50+B51</f>
        <v>197</v>
      </c>
      <c r="D51" s="175">
        <f>1+10+1+4</f>
        <v>16</v>
      </c>
      <c r="E51" s="140">
        <f aca="true" t="shared" si="16" ref="E51:E56">E50+D51</f>
        <v>173</v>
      </c>
      <c r="F51" s="174">
        <f>3+1+2+3</f>
        <v>9</v>
      </c>
      <c r="G51" s="140">
        <f aca="true" t="shared" si="17" ref="G51:G56">G50+F51</f>
        <v>158</v>
      </c>
      <c r="H51" s="181">
        <f aca="true" t="shared" si="18" ref="H51:H56">0+0+0+0</f>
        <v>0</v>
      </c>
      <c r="I51" s="169">
        <f aca="true" t="shared" si="19" ref="I51:I56">I50+H51</f>
        <v>28</v>
      </c>
      <c r="J51" s="175">
        <f t="shared" si="13"/>
        <v>28</v>
      </c>
      <c r="K51" s="147">
        <f t="shared" si="14"/>
        <v>556</v>
      </c>
    </row>
    <row r="52" spans="1:11" s="202" customFormat="1" ht="12.75">
      <c r="A52" s="168">
        <v>2013</v>
      </c>
      <c r="B52" s="177">
        <f>1+1+4+1</f>
        <v>7</v>
      </c>
      <c r="C52" s="180">
        <f t="shared" si="15"/>
        <v>204</v>
      </c>
      <c r="D52" s="177">
        <f>2+2+3+12</f>
        <v>19</v>
      </c>
      <c r="E52" s="169">
        <f t="shared" si="16"/>
        <v>192</v>
      </c>
      <c r="F52" s="174">
        <f>0+4+5+3</f>
        <v>12</v>
      </c>
      <c r="G52" s="169">
        <f t="shared" si="17"/>
        <v>170</v>
      </c>
      <c r="H52" s="181">
        <f t="shared" si="18"/>
        <v>0</v>
      </c>
      <c r="I52" s="169">
        <f t="shared" si="19"/>
        <v>28</v>
      </c>
      <c r="J52" s="177">
        <f t="shared" si="13"/>
        <v>38</v>
      </c>
      <c r="K52" s="155">
        <f t="shared" si="14"/>
        <v>594</v>
      </c>
    </row>
    <row r="53" spans="1:11" s="202" customFormat="1" ht="12.75">
      <c r="A53" s="168">
        <v>2014</v>
      </c>
      <c r="B53" s="177">
        <f>3+1+4+1</f>
        <v>9</v>
      </c>
      <c r="C53" s="180">
        <f t="shared" si="15"/>
        <v>213</v>
      </c>
      <c r="D53" s="177">
        <f>4+6+4+4</f>
        <v>18</v>
      </c>
      <c r="E53" s="169">
        <f t="shared" si="16"/>
        <v>210</v>
      </c>
      <c r="F53" s="174">
        <f>4+5+1+1</f>
        <v>11</v>
      </c>
      <c r="G53" s="169">
        <f t="shared" si="17"/>
        <v>181</v>
      </c>
      <c r="H53" s="181">
        <f t="shared" si="18"/>
        <v>0</v>
      </c>
      <c r="I53" s="169">
        <f t="shared" si="19"/>
        <v>28</v>
      </c>
      <c r="J53" s="177">
        <f t="shared" si="13"/>
        <v>38</v>
      </c>
      <c r="K53" s="155">
        <f t="shared" si="14"/>
        <v>632</v>
      </c>
    </row>
    <row r="54" spans="1:11" s="202" customFormat="1" ht="12.75">
      <c r="A54" s="168">
        <v>2015</v>
      </c>
      <c r="B54" s="177">
        <f>1+2+4+3</f>
        <v>10</v>
      </c>
      <c r="C54" s="180">
        <f t="shared" si="15"/>
        <v>223</v>
      </c>
      <c r="D54" s="177">
        <f>3+1+2+0</f>
        <v>6</v>
      </c>
      <c r="E54" s="169">
        <f t="shared" si="16"/>
        <v>216</v>
      </c>
      <c r="F54" s="174">
        <f>3+4+4+3</f>
        <v>14</v>
      </c>
      <c r="G54" s="169">
        <f t="shared" si="17"/>
        <v>195</v>
      </c>
      <c r="H54" s="181">
        <f t="shared" si="18"/>
        <v>0</v>
      </c>
      <c r="I54" s="169">
        <f t="shared" si="19"/>
        <v>28</v>
      </c>
      <c r="J54" s="177">
        <f t="shared" si="13"/>
        <v>30</v>
      </c>
      <c r="K54" s="155">
        <f t="shared" si="14"/>
        <v>662</v>
      </c>
    </row>
    <row r="55" spans="1:11" s="248" customFormat="1" ht="12.75">
      <c r="A55" s="164">
        <v>2016</v>
      </c>
      <c r="B55" s="188">
        <f>2+2+4+1</f>
        <v>9</v>
      </c>
      <c r="C55" s="249">
        <f t="shared" si="15"/>
        <v>232</v>
      </c>
      <c r="D55" s="188">
        <f>1+4+3+1</f>
        <v>9</v>
      </c>
      <c r="E55" s="189">
        <f t="shared" si="16"/>
        <v>225</v>
      </c>
      <c r="F55" s="250">
        <f>1+2+3+0</f>
        <v>6</v>
      </c>
      <c r="G55" s="189">
        <f t="shared" si="17"/>
        <v>201</v>
      </c>
      <c r="H55" s="251">
        <f t="shared" si="18"/>
        <v>0</v>
      </c>
      <c r="I55" s="189">
        <f t="shared" si="19"/>
        <v>28</v>
      </c>
      <c r="J55" s="188">
        <f t="shared" si="13"/>
        <v>24</v>
      </c>
      <c r="K55" s="163">
        <f t="shared" si="14"/>
        <v>686</v>
      </c>
    </row>
    <row r="56" spans="1:11" s="202" customFormat="1" ht="12.75">
      <c r="A56" s="164">
        <v>2017</v>
      </c>
      <c r="B56" s="177">
        <f>3+3+2+2</f>
        <v>10</v>
      </c>
      <c r="C56" s="180">
        <f t="shared" si="15"/>
        <v>242</v>
      </c>
      <c r="D56" s="177">
        <f>2+1+2+2</f>
        <v>7</v>
      </c>
      <c r="E56" s="169">
        <f t="shared" si="16"/>
        <v>232</v>
      </c>
      <c r="F56" s="174">
        <f>3+3+0+2</f>
        <v>8</v>
      </c>
      <c r="G56" s="169">
        <f t="shared" si="17"/>
        <v>209</v>
      </c>
      <c r="H56" s="181">
        <f t="shared" si="18"/>
        <v>0</v>
      </c>
      <c r="I56" s="169">
        <f t="shared" si="19"/>
        <v>28</v>
      </c>
      <c r="J56" s="177">
        <f>B56+D56+F56+H56</f>
        <v>25</v>
      </c>
      <c r="K56" s="155">
        <f>K55+J56</f>
        <v>711</v>
      </c>
    </row>
    <row r="57" spans="1:11" s="248" customFormat="1" ht="12.75">
      <c r="A57" s="164">
        <v>2018</v>
      </c>
      <c r="B57" s="188">
        <f>1+2+2+4</f>
        <v>9</v>
      </c>
      <c r="C57" s="249">
        <f>C56+B57</f>
        <v>251</v>
      </c>
      <c r="D57" s="188">
        <f>1+1+0+0</f>
        <v>2</v>
      </c>
      <c r="E57" s="189">
        <f>E56+D57</f>
        <v>234</v>
      </c>
      <c r="F57" s="250">
        <f>0+2+1+3</f>
        <v>6</v>
      </c>
      <c r="G57" s="189">
        <f>G56+F57</f>
        <v>215</v>
      </c>
      <c r="H57" s="251">
        <f>0+1+0+0</f>
        <v>1</v>
      </c>
      <c r="I57" s="189">
        <f>I56+H57</f>
        <v>29</v>
      </c>
      <c r="J57" s="188">
        <f>B57+D57+F57+H57</f>
        <v>18</v>
      </c>
      <c r="K57" s="163">
        <f>K56+J57</f>
        <v>729</v>
      </c>
    </row>
    <row r="58" spans="1:11" s="202" customFormat="1" ht="12.75">
      <c r="A58" s="164">
        <v>2019</v>
      </c>
      <c r="B58" s="177">
        <f>4+1+1+2</f>
        <v>8</v>
      </c>
      <c r="C58" s="180">
        <f>C57+B58</f>
        <v>259</v>
      </c>
      <c r="D58" s="177">
        <f>3+0+1+1</f>
        <v>5</v>
      </c>
      <c r="E58" s="169">
        <f>E57+D58</f>
        <v>239</v>
      </c>
      <c r="F58" s="174">
        <f>0+1+0+1</f>
        <v>2</v>
      </c>
      <c r="G58" s="169">
        <f>G57+F58</f>
        <v>217</v>
      </c>
      <c r="H58" s="181">
        <f>1+1+2+4</f>
        <v>8</v>
      </c>
      <c r="I58" s="169">
        <f>I57+H58</f>
        <v>37</v>
      </c>
      <c r="J58" s="177">
        <f>B58+D58+F58+H58</f>
        <v>23</v>
      </c>
      <c r="K58" s="155">
        <f>K57+J58</f>
        <v>752</v>
      </c>
    </row>
    <row r="59" spans="1:11" s="202" customFormat="1" ht="12.75">
      <c r="A59" s="244">
        <v>2020</v>
      </c>
      <c r="B59" s="197">
        <f>0</f>
        <v>0</v>
      </c>
      <c r="C59" s="198">
        <f>C58+B59</f>
        <v>259</v>
      </c>
      <c r="D59" s="197">
        <f>0</f>
        <v>0</v>
      </c>
      <c r="E59" s="194">
        <f>E58+D59</f>
        <v>239</v>
      </c>
      <c r="F59" s="199">
        <f>0</f>
        <v>0</v>
      </c>
      <c r="G59" s="194">
        <f>G58+F59</f>
        <v>217</v>
      </c>
      <c r="H59" s="200">
        <f>0</f>
        <v>0</v>
      </c>
      <c r="I59" s="194">
        <f>I58+H59</f>
        <v>37</v>
      </c>
      <c r="J59" s="197">
        <f>B59+D59+F59+H59</f>
        <v>0</v>
      </c>
      <c r="K59" s="196">
        <f>K58+J59</f>
        <v>752</v>
      </c>
    </row>
    <row r="60" spans="1:11" ht="12.75">
      <c r="A60" s="17"/>
      <c r="B60" s="27"/>
      <c r="C60" s="11"/>
      <c r="D60" s="8"/>
      <c r="E60" s="30"/>
      <c r="F60" s="37"/>
      <c r="G60" s="30"/>
      <c r="H60" s="20"/>
      <c r="I60" s="30"/>
      <c r="J60" s="37"/>
      <c r="K60" s="30"/>
    </row>
    <row r="61" spans="1:11" ht="12.75">
      <c r="A61" s="17"/>
      <c r="B61" s="27"/>
      <c r="C61" s="11"/>
      <c r="D61" s="8"/>
      <c r="E61" s="30"/>
      <c r="F61" s="37"/>
      <c r="G61" s="30"/>
      <c r="H61" s="20"/>
      <c r="I61" s="30"/>
      <c r="J61" s="37"/>
      <c r="K61" s="30"/>
    </row>
    <row r="62" spans="1:11" ht="12.75">
      <c r="A62" s="17"/>
      <c r="B62" s="27"/>
      <c r="C62" s="29"/>
      <c r="D62" s="8"/>
      <c r="E62" s="30"/>
      <c r="F62" s="37"/>
      <c r="G62" s="30"/>
      <c r="H62" s="20"/>
      <c r="I62" s="30"/>
      <c r="J62" s="37"/>
      <c r="K62" s="30"/>
    </row>
    <row r="63" spans="1:11" ht="12.75">
      <c r="A63" s="17"/>
      <c r="B63" s="27"/>
      <c r="C63" s="29"/>
      <c r="D63" s="8"/>
      <c r="E63" s="30"/>
      <c r="F63" s="37"/>
      <c r="G63" s="30"/>
      <c r="H63" s="20"/>
      <c r="I63" s="30"/>
      <c r="J63" s="37"/>
      <c r="K63" s="30"/>
    </row>
    <row r="64" spans="1:11" ht="12.75">
      <c r="A64" s="17"/>
      <c r="B64" s="27"/>
      <c r="C64" s="29"/>
      <c r="D64" s="8"/>
      <c r="E64" s="30"/>
      <c r="F64" s="37"/>
      <c r="G64" s="30"/>
      <c r="H64" s="20"/>
      <c r="I64" s="30"/>
      <c r="J64" s="37"/>
      <c r="K64" s="30"/>
    </row>
    <row r="65" spans="1:11" ht="12.75">
      <c r="A65" s="17"/>
      <c r="B65" s="27"/>
      <c r="C65" s="29"/>
      <c r="D65" s="8"/>
      <c r="E65" s="30"/>
      <c r="F65" s="37"/>
      <c r="G65" s="30"/>
      <c r="H65" s="20"/>
      <c r="I65" s="30"/>
      <c r="J65" s="37"/>
      <c r="K65" s="30"/>
    </row>
    <row r="66" spans="1:11" ht="12.75">
      <c r="A66" s="17"/>
      <c r="B66" s="27"/>
      <c r="C66" s="29"/>
      <c r="D66" s="8"/>
      <c r="E66" s="30"/>
      <c r="F66" s="37"/>
      <c r="G66" s="30"/>
      <c r="H66" s="20"/>
      <c r="I66" s="30"/>
      <c r="J66" s="37"/>
      <c r="K66" s="30"/>
    </row>
    <row r="67" spans="1:11" ht="12.75">
      <c r="A67" s="17"/>
      <c r="B67" s="27"/>
      <c r="C67" s="29"/>
      <c r="D67" s="8"/>
      <c r="E67" s="30"/>
      <c r="F67" s="37"/>
      <c r="G67" s="30"/>
      <c r="H67" s="20"/>
      <c r="I67" s="30"/>
      <c r="J67" s="37"/>
      <c r="K67" s="30"/>
    </row>
    <row r="68" spans="1:11" ht="12.75">
      <c r="A68" s="17"/>
      <c r="B68" s="27"/>
      <c r="C68" s="29"/>
      <c r="D68" s="8"/>
      <c r="E68" s="30"/>
      <c r="F68" s="37"/>
      <c r="G68" s="30"/>
      <c r="H68" s="20"/>
      <c r="I68" s="30"/>
      <c r="J68" s="37"/>
      <c r="K68" s="30"/>
    </row>
    <row r="69" spans="1:11" ht="12.75">
      <c r="A69" s="17"/>
      <c r="B69" s="27"/>
      <c r="C69" s="29"/>
      <c r="D69" s="8"/>
      <c r="E69" s="30"/>
      <c r="F69" s="37"/>
      <c r="G69" s="30"/>
      <c r="H69" s="20"/>
      <c r="I69" s="30"/>
      <c r="J69" s="37"/>
      <c r="K69" s="30"/>
    </row>
    <row r="70" spans="1:11" ht="12.75">
      <c r="A70" s="17"/>
      <c r="B70" s="27"/>
      <c r="C70" s="29"/>
      <c r="D70" s="8"/>
      <c r="E70" s="30"/>
      <c r="F70" s="37"/>
      <c r="G70" s="30"/>
      <c r="H70" s="20"/>
      <c r="I70" s="30"/>
      <c r="J70" s="37"/>
      <c r="K70" s="30"/>
    </row>
    <row r="71" spans="1:11" ht="12.75">
      <c r="A71" s="17"/>
      <c r="B71" s="27"/>
      <c r="C71" s="29"/>
      <c r="D71" s="8"/>
      <c r="E71" s="30"/>
      <c r="F71" s="37"/>
      <c r="G71" s="30"/>
      <c r="H71" s="20"/>
      <c r="I71" s="30"/>
      <c r="J71" s="37"/>
      <c r="K71" s="30"/>
    </row>
    <row r="72" spans="1:11" ht="12.75">
      <c r="A72" s="18"/>
      <c r="B72" s="28"/>
      <c r="C72" s="32"/>
      <c r="D72" s="42"/>
      <c r="E72" s="33"/>
      <c r="F72" s="38"/>
      <c r="G72" s="33"/>
      <c r="H72" s="21"/>
      <c r="I72" s="33"/>
      <c r="J72" s="38"/>
      <c r="K72" s="33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5">
    <mergeCell ref="B1:C1"/>
    <mergeCell ref="J1:K1"/>
    <mergeCell ref="D1:E1"/>
    <mergeCell ref="F1:G1"/>
    <mergeCell ref="H1:I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2020-03-31 
</oddHeader>
    <oddFooter>&amp;CSida 1</oddFooter>
  </headerFooter>
  <ignoredErrors>
    <ignoredError sqref="J43:J45 J24:J42 D43:H45 D46:D47 G46:J47 F46:F47 E46:E47 G48:J48 E48 D48 F48 K48 G49 I49:J49 E49 K49 I50:J50 D49 F49 H49 K50 E50 G50 H50 H51:H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anncro</dc:creator>
  <cp:keywords/>
  <dc:description/>
  <cp:lastModifiedBy>Ann-Christin Croon(1dvf)</cp:lastModifiedBy>
  <cp:lastPrinted>2020-04-02T07:12:43Z</cp:lastPrinted>
  <dcterms:created xsi:type="dcterms:W3CDTF">2004-08-22T09:57:56Z</dcterms:created>
  <dcterms:modified xsi:type="dcterms:W3CDTF">2020-04-03T06:45:36Z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5205622acf441c86b4a77ebd241bc1">
    <vt:lpwstr>Ej vald organisation|3822ec8b-2f35-484d-98a2-3cd415564d7c</vt:lpwstr>
  </property>
  <property fmtid="{D5CDD505-2E9C-101B-9397-08002B2CF9AE}" pid="3" name="TaxCatchAll">
    <vt:lpwstr>3;#Ej vald organisation|3822ec8b-2f35-484d-98a2-3cd415564d7c</vt:lpwstr>
  </property>
  <property fmtid="{D5CDD505-2E9C-101B-9397-08002B2CF9AE}" pid="4" name="Organisation">
    <vt:lpwstr>3;#Ej vald organisation|3822ec8b-2f35-484d-98a2-3cd415564d7c</vt:lpwstr>
  </property>
  <property fmtid="{D5CDD505-2E9C-101B-9397-08002B2CF9AE}" pid="5" name="display_urn:schemas-microsoft-com:office:office#Editor">
    <vt:lpwstr>Ann-Christin Croon(1dvf)</vt:lpwstr>
  </property>
  <property fmtid="{D5CDD505-2E9C-101B-9397-08002B2CF9AE}" pid="6" name="display_urn:schemas-microsoft-com:office:office#Author">
    <vt:lpwstr>Lit_svc_sp_install</vt:lpwstr>
  </property>
  <property fmtid="{D5CDD505-2E9C-101B-9397-08002B2CF9AE}" pid="7" name="k068669e5f034796832dce74b4c0abf0">
    <vt:lpwstr/>
  </property>
  <property fmtid="{D5CDD505-2E9C-101B-9397-08002B2CF9AE}" pid="8" name="Dokumentkategori">
    <vt:lpwstr/>
  </property>
</Properties>
</file>