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an9\Desktop\"/>
    </mc:Choice>
  </mc:AlternateContent>
  <xr:revisionPtr revIDLastSave="0" documentId="13_ncr:1_{FD633576-D4EE-434E-A590-F4188EE8C909}" xr6:coauthVersionLast="47" xr6:coauthVersionMax="47" xr10:uidLastSave="{00000000-0000-0000-0000-000000000000}"/>
  <workbookProtection workbookPassword="F7A5" lockStructure="1"/>
  <bookViews>
    <workbookView xWindow="-120" yWindow="-120" windowWidth="29040" windowHeight="15840" tabRatio="859" activeTab="6" xr2:uid="{00000000-000D-0000-FFFF-FFFF00000000}"/>
  </bookViews>
  <sheets>
    <sheet name="Försätt" sheetId="20" r:id="rId1"/>
    <sheet name="Inv" sheetId="21" r:id="rId2"/>
    <sheet name="Reg.indeln" sheetId="25" r:id="rId3"/>
    <sheet name="Tot" sheetId="17" r:id="rId4"/>
    <sheet name="Don-AD" sheetId="18" r:id="rId5"/>
    <sheet name="Don AD PMI+per 10000 avl" sheetId="24" r:id="rId6"/>
    <sheet name="Don-LD" sheetId="19" r:id="rId7"/>
    <sheet name="Nj" sheetId="4" r:id="rId8"/>
    <sheet name="Nj-AD+LD" sheetId="1" r:id="rId9"/>
    <sheet name="Pa" sheetId="7" r:id="rId10"/>
    <sheet name="P-öar" sheetId="5" r:id="rId11"/>
    <sheet name="Le" sheetId="8" r:id="rId12"/>
    <sheet name="Le-AD+LD+Dom" sheetId="9" r:id="rId13"/>
    <sheet name="Hj" sheetId="11" r:id="rId14"/>
    <sheet name="Lu" sheetId="12" r:id="rId15"/>
    <sheet name="Lu-SL+DL" sheetId="13" r:id="rId16"/>
    <sheet name="Hj-Lu" sheetId="15" r:id="rId17"/>
    <sheet name="Tarm" sheetId="16" r:id="rId18"/>
  </sheets>
  <definedNames>
    <definedName name="_xlnm.Print_Titles" localSheetId="5">'Don AD PMI+per 10000 avl'!$A:$C,'Don AD PMI+per 10000 avl'!$1:$2</definedName>
    <definedName name="_xlnm.Print_Titles" localSheetId="4">'Don-AD'!$A:$D,'Don-AD'!$1:$2</definedName>
    <definedName name="_xlnm.Print_Titles" localSheetId="6">'Don-LD'!$A:$B,'Don-LD'!$1:$2</definedName>
    <definedName name="_xlnm.Print_Titles" localSheetId="13">Hj!$A:$B,Hj!$1:$2</definedName>
    <definedName name="_xlnm.Print_Titles" localSheetId="16">'Hj-Lu'!$A:$B,'Hj-Lu'!$1:$2</definedName>
    <definedName name="_xlnm.Print_Titles" localSheetId="11">Le!$A:$B,Le!$1:$2</definedName>
    <definedName name="_xlnm.Print_Titles" localSheetId="12">'Le-AD+LD+Dom'!$A:$A,'Le-AD+LD+Dom'!$1:$2</definedName>
    <definedName name="_xlnm.Print_Titles" localSheetId="14">Lu!$A:$B,Lu!$1:$2</definedName>
    <definedName name="_xlnm.Print_Titles" localSheetId="15">'Lu-SL+DL'!$A:$A,'Lu-SL+DL'!$1:$2</definedName>
    <definedName name="_xlnm.Print_Titles" localSheetId="7">Nj!$A:$B,Nj!$1:$2</definedName>
    <definedName name="_xlnm.Print_Titles" localSheetId="8">'Nj-AD+LD'!$A:$B,'Nj-AD+LD'!$1:$2</definedName>
    <definedName name="_xlnm.Print_Titles" localSheetId="9">Pa!$A:$B,Pa!$1:$2</definedName>
    <definedName name="_xlnm.Print_Titles" localSheetId="10">'P-öar'!$A:$B,'P-öar'!$1:$2</definedName>
    <definedName name="_xlnm.Print_Titles" localSheetId="17">Tarm!$A:$B,Tarm!$1:$2</definedName>
    <definedName name="_xlnm.Print_Titles" localSheetId="3">Tot!$A:$B,Tot!$1:$2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19" l="1"/>
  <c r="L63" i="13"/>
  <c r="B63" i="18"/>
  <c r="D63" i="9"/>
  <c r="F63" i="16" l="1"/>
  <c r="E63" i="1"/>
  <c r="D63" i="1"/>
  <c r="R63" i="1"/>
  <c r="E63" i="13" l="1"/>
  <c r="M63" i="13" l="1"/>
  <c r="F63" i="13"/>
  <c r="D63" i="13"/>
  <c r="H63" i="11"/>
  <c r="F63" i="11"/>
  <c r="W63" i="9"/>
  <c r="V63" i="9"/>
  <c r="E63" i="9"/>
  <c r="D63" i="5"/>
  <c r="K63" i="7"/>
  <c r="E63" i="7"/>
  <c r="AB63" i="1"/>
  <c r="AA63" i="1"/>
  <c r="Z63" i="1"/>
  <c r="T63" i="1"/>
  <c r="S63" i="1"/>
  <c r="M63" i="1"/>
  <c r="L63" i="1"/>
  <c r="K63" i="1"/>
  <c r="F63" i="1"/>
  <c r="Q63" i="18"/>
  <c r="O63" i="18"/>
  <c r="L63" i="18"/>
  <c r="K63" i="18"/>
  <c r="J63" i="18"/>
  <c r="H63" i="18"/>
  <c r="F63" i="18"/>
  <c r="D63" i="18"/>
  <c r="C63" i="18"/>
  <c r="N63" i="13" l="1"/>
  <c r="H63" i="7"/>
  <c r="C63" i="7"/>
  <c r="F63" i="19"/>
  <c r="D63" i="19"/>
  <c r="B63" i="19"/>
  <c r="P63" i="18" l="1"/>
  <c r="G63" i="18" l="1"/>
  <c r="B63" i="7"/>
  <c r="O62" i="7"/>
  <c r="D63" i="15"/>
  <c r="O63" i="7"/>
  <c r="L63" i="7"/>
  <c r="I63" i="7"/>
  <c r="F63" i="7"/>
  <c r="T63" i="18" l="1"/>
  <c r="I63" i="18"/>
  <c r="D44" i="18"/>
  <c r="D45" i="18"/>
  <c r="D46" i="18"/>
  <c r="D48" i="18"/>
  <c r="D49" i="18"/>
  <c r="D50" i="18"/>
  <c r="D51" i="18"/>
  <c r="D52" i="18"/>
  <c r="D53" i="18"/>
  <c r="D54" i="18"/>
  <c r="D55" i="18"/>
  <c r="U55" i="18" s="1"/>
  <c r="B55" i="17" s="1"/>
  <c r="D56" i="18"/>
  <c r="D57" i="18"/>
  <c r="D58" i="18"/>
  <c r="D59" i="18"/>
  <c r="D60" i="18"/>
  <c r="D61" i="18"/>
  <c r="D62" i="18"/>
  <c r="G12" i="21"/>
  <c r="B62" i="24"/>
  <c r="F62" i="24"/>
  <c r="J62" i="24"/>
  <c r="H62" i="24"/>
  <c r="D62" i="24"/>
  <c r="H63" i="16"/>
  <c r="T63" i="17" s="1"/>
  <c r="D63" i="16"/>
  <c r="B63" i="16"/>
  <c r="F63" i="15"/>
  <c r="R63" i="17" s="1"/>
  <c r="B63" i="15"/>
  <c r="V63" i="13"/>
  <c r="U63" i="13"/>
  <c r="J63" i="13"/>
  <c r="D63" i="12" s="1"/>
  <c r="E62" i="13"/>
  <c r="U62" i="13" s="1"/>
  <c r="J63" i="11"/>
  <c r="N63" i="17" s="1"/>
  <c r="D63" i="11"/>
  <c r="B63" i="11"/>
  <c r="AG63" i="9"/>
  <c r="AF63" i="9"/>
  <c r="AE63" i="9"/>
  <c r="Y63" i="9"/>
  <c r="X63" i="9"/>
  <c r="T63" i="9"/>
  <c r="F63" i="8" s="1"/>
  <c r="K63" i="9"/>
  <c r="D63" i="8" s="1"/>
  <c r="G63" i="9"/>
  <c r="AH63" i="9" s="1"/>
  <c r="F63" i="9"/>
  <c r="G62" i="9"/>
  <c r="B63" i="9"/>
  <c r="H62" i="5"/>
  <c r="F63" i="5"/>
  <c r="B63" i="5"/>
  <c r="N63" i="7"/>
  <c r="H63" i="17" s="1"/>
  <c r="X63" i="1"/>
  <c r="H63" i="4" s="1"/>
  <c r="I63" i="1"/>
  <c r="D63" i="4" s="1"/>
  <c r="AG63" i="1"/>
  <c r="N63" i="18"/>
  <c r="B62" i="16"/>
  <c r="F62" i="16"/>
  <c r="D62" i="15"/>
  <c r="B62" i="15"/>
  <c r="N62" i="13"/>
  <c r="M62" i="13"/>
  <c r="L62" i="13"/>
  <c r="F62" i="13"/>
  <c r="D62" i="13"/>
  <c r="T62" i="13" s="1"/>
  <c r="H62" i="11"/>
  <c r="F62" i="11"/>
  <c r="W62" i="9"/>
  <c r="V62" i="9"/>
  <c r="E62" i="9"/>
  <c r="D62" i="9"/>
  <c r="F62" i="5"/>
  <c r="D62" i="5"/>
  <c r="B62" i="5"/>
  <c r="H62" i="7"/>
  <c r="E62" i="7"/>
  <c r="B62" i="7"/>
  <c r="N62" i="7" s="1"/>
  <c r="H62" i="17" s="1"/>
  <c r="AB62" i="1"/>
  <c r="AA62" i="1"/>
  <c r="Z62" i="1"/>
  <c r="X62" i="1" s="1"/>
  <c r="H62" i="4" s="1"/>
  <c r="T62" i="1"/>
  <c r="S62" i="1"/>
  <c r="R62" i="1"/>
  <c r="M62" i="1"/>
  <c r="I62" i="1" s="1"/>
  <c r="D62" i="4" s="1"/>
  <c r="L62" i="1"/>
  <c r="K62" i="1"/>
  <c r="F62" i="1"/>
  <c r="E62" i="1"/>
  <c r="AH62" i="1" s="1"/>
  <c r="D62" i="1"/>
  <c r="H62" i="19"/>
  <c r="F62" i="19"/>
  <c r="J62" i="19" s="1"/>
  <c r="D62" i="19"/>
  <c r="B62" i="19"/>
  <c r="Q62" i="18"/>
  <c r="O62" i="18"/>
  <c r="L62" i="18"/>
  <c r="J62" i="18"/>
  <c r="H62" i="18"/>
  <c r="F62" i="18"/>
  <c r="S62" i="18" s="1"/>
  <c r="B62" i="18"/>
  <c r="M61" i="13"/>
  <c r="AE62" i="9"/>
  <c r="F62" i="9"/>
  <c r="AG62" i="9" s="1"/>
  <c r="B61" i="19"/>
  <c r="D62" i="16"/>
  <c r="D62" i="11"/>
  <c r="J62" i="11" s="1"/>
  <c r="N62" i="17" s="1"/>
  <c r="B62" i="11"/>
  <c r="Y62" i="9"/>
  <c r="X62" i="9"/>
  <c r="B61" i="18"/>
  <c r="J61" i="24"/>
  <c r="H61" i="24"/>
  <c r="F61" i="24"/>
  <c r="D61" i="24"/>
  <c r="B61" i="24"/>
  <c r="B60" i="24"/>
  <c r="F61" i="16"/>
  <c r="D61" i="16"/>
  <c r="B61" i="16"/>
  <c r="B62" i="13"/>
  <c r="P62" i="9"/>
  <c r="O62" i="9"/>
  <c r="X61" i="9"/>
  <c r="O61" i="9"/>
  <c r="F61" i="9"/>
  <c r="Z61" i="1"/>
  <c r="AA61" i="1"/>
  <c r="X61" i="1" s="1"/>
  <c r="H61" i="4" s="1"/>
  <c r="D61" i="15"/>
  <c r="B61" i="15"/>
  <c r="N61" i="13"/>
  <c r="Q61" i="13" s="1"/>
  <c r="Q62" i="13" s="1"/>
  <c r="Q63" i="13" s="1"/>
  <c r="U61" i="13"/>
  <c r="L61" i="13"/>
  <c r="F61" i="13"/>
  <c r="E61" i="13"/>
  <c r="D61" i="13"/>
  <c r="H61" i="11"/>
  <c r="F61" i="11"/>
  <c r="W61" i="9"/>
  <c r="V61" i="9"/>
  <c r="E61" i="9"/>
  <c r="D61" i="9"/>
  <c r="H61" i="5"/>
  <c r="F61" i="5"/>
  <c r="D61" i="5"/>
  <c r="B61" i="5"/>
  <c r="K61" i="7"/>
  <c r="H61" i="7"/>
  <c r="E61" i="7"/>
  <c r="AB61" i="1"/>
  <c r="T61" i="1"/>
  <c r="S61" i="1"/>
  <c r="R61" i="1"/>
  <c r="F61" i="1"/>
  <c r="M61" i="1"/>
  <c r="AI61" i="1" s="1"/>
  <c r="D61" i="17" s="1"/>
  <c r="L61" i="1"/>
  <c r="K61" i="1"/>
  <c r="E61" i="1"/>
  <c r="D61" i="1"/>
  <c r="B61" i="1" s="1"/>
  <c r="B61" i="4" s="1"/>
  <c r="H61" i="19"/>
  <c r="F61" i="19"/>
  <c r="D61" i="19"/>
  <c r="Q61" i="18"/>
  <c r="U61" i="18" s="1"/>
  <c r="O61" i="18"/>
  <c r="L61" i="18"/>
  <c r="J61" i="18"/>
  <c r="H61" i="18"/>
  <c r="F61" i="18"/>
  <c r="I60" i="13"/>
  <c r="I61" i="13" s="1"/>
  <c r="I62" i="13" s="1"/>
  <c r="I63" i="13" s="1"/>
  <c r="D59" i="13"/>
  <c r="Y61" i="9"/>
  <c r="G61" i="9"/>
  <c r="AH61" i="9" s="1"/>
  <c r="J60" i="24"/>
  <c r="H60" i="24"/>
  <c r="F60" i="24"/>
  <c r="D60" i="24"/>
  <c r="B60" i="19"/>
  <c r="O60" i="18"/>
  <c r="T61" i="13"/>
  <c r="P61" i="9"/>
  <c r="J59" i="24"/>
  <c r="AB60" i="1"/>
  <c r="F59" i="24"/>
  <c r="K60" i="1"/>
  <c r="F60" i="16"/>
  <c r="F60" i="11"/>
  <c r="R60" i="1"/>
  <c r="L60" i="18"/>
  <c r="D60" i="15"/>
  <c r="B60" i="15"/>
  <c r="G60" i="9"/>
  <c r="F60" i="9"/>
  <c r="B59" i="24"/>
  <c r="D59" i="24"/>
  <c r="D60" i="16"/>
  <c r="B60" i="16"/>
  <c r="X60" i="9"/>
  <c r="W60" i="9"/>
  <c r="V60" i="9"/>
  <c r="E60" i="9"/>
  <c r="D60" i="9"/>
  <c r="H60" i="5"/>
  <c r="F60" i="5"/>
  <c r="D60" i="5"/>
  <c r="B60" i="5"/>
  <c r="K60" i="7"/>
  <c r="H60" i="7"/>
  <c r="E60" i="7"/>
  <c r="B60" i="7"/>
  <c r="H60" i="19"/>
  <c r="F60" i="19"/>
  <c r="D60" i="19"/>
  <c r="AA60" i="1"/>
  <c r="Z60" i="1"/>
  <c r="T60" i="1"/>
  <c r="S60" i="1"/>
  <c r="M60" i="1"/>
  <c r="L60" i="1"/>
  <c r="F60" i="1"/>
  <c r="AI60" i="1" s="1"/>
  <c r="D60" i="17" s="1"/>
  <c r="E60" i="1"/>
  <c r="D60" i="1"/>
  <c r="Q60" i="18"/>
  <c r="J60" i="18"/>
  <c r="H60" i="18"/>
  <c r="F60" i="18"/>
  <c r="B60" i="18"/>
  <c r="D60" i="13"/>
  <c r="N60" i="13"/>
  <c r="M60" i="13"/>
  <c r="L60" i="13"/>
  <c r="F60" i="13"/>
  <c r="E60" i="13"/>
  <c r="H60" i="11"/>
  <c r="Y60" i="9"/>
  <c r="Y59" i="9"/>
  <c r="H59" i="24"/>
  <c r="B58" i="24"/>
  <c r="AF60" i="9"/>
  <c r="P60" i="9"/>
  <c r="O60" i="9"/>
  <c r="K60" i="9" s="1"/>
  <c r="D60" i="8" s="1"/>
  <c r="F59" i="19"/>
  <c r="B59" i="5"/>
  <c r="H59" i="7"/>
  <c r="T59" i="1"/>
  <c r="F59" i="1"/>
  <c r="B59" i="18"/>
  <c r="B59" i="15"/>
  <c r="M59" i="13"/>
  <c r="L59" i="13"/>
  <c r="E59" i="13"/>
  <c r="H59" i="11"/>
  <c r="F59" i="11"/>
  <c r="J59" i="11" s="1"/>
  <c r="N59" i="17" s="1"/>
  <c r="V59" i="9"/>
  <c r="D59" i="9"/>
  <c r="B59" i="9"/>
  <c r="H59" i="5"/>
  <c r="J59" i="5" s="1"/>
  <c r="J59" i="17" s="1"/>
  <c r="F59" i="5"/>
  <c r="D59" i="5"/>
  <c r="K59" i="7"/>
  <c r="E59" i="7"/>
  <c r="B59" i="7"/>
  <c r="AB59" i="1"/>
  <c r="AA59" i="1"/>
  <c r="Z59" i="1"/>
  <c r="S59" i="1"/>
  <c r="R59" i="1"/>
  <c r="M59" i="1"/>
  <c r="L59" i="1"/>
  <c r="K59" i="1"/>
  <c r="E59" i="1"/>
  <c r="D59" i="1"/>
  <c r="B59" i="1" s="1"/>
  <c r="B59" i="4" s="1"/>
  <c r="H59" i="19"/>
  <c r="D59" i="19"/>
  <c r="B59" i="19"/>
  <c r="Q59" i="18"/>
  <c r="O59" i="18"/>
  <c r="L59" i="18"/>
  <c r="J59" i="18"/>
  <c r="H59" i="18"/>
  <c r="U59" i="18"/>
  <c r="F59" i="18"/>
  <c r="E59" i="9"/>
  <c r="AF59" i="9"/>
  <c r="J65" i="19"/>
  <c r="J66" i="19"/>
  <c r="K66" i="19"/>
  <c r="J67" i="19"/>
  <c r="K67" i="19"/>
  <c r="J68" i="19"/>
  <c r="K68" i="19"/>
  <c r="J69" i="19"/>
  <c r="K69" i="19"/>
  <c r="J64" i="19"/>
  <c r="K64" i="19"/>
  <c r="K71" i="19"/>
  <c r="K65" i="19"/>
  <c r="K70" i="19"/>
  <c r="J61" i="19"/>
  <c r="I69" i="19"/>
  <c r="I68" i="19"/>
  <c r="I67" i="19"/>
  <c r="I66" i="19"/>
  <c r="I65" i="19"/>
  <c r="I64" i="19"/>
  <c r="G69" i="19"/>
  <c r="G68" i="19"/>
  <c r="G67" i="19"/>
  <c r="G66" i="19"/>
  <c r="G65" i="19"/>
  <c r="G64" i="19"/>
  <c r="E69" i="19"/>
  <c r="E68" i="19"/>
  <c r="E67" i="19"/>
  <c r="E66" i="19"/>
  <c r="E65" i="19"/>
  <c r="E64" i="19"/>
  <c r="C64" i="19"/>
  <c r="C65" i="19"/>
  <c r="C66" i="19"/>
  <c r="C67" i="19"/>
  <c r="C68" i="19"/>
  <c r="C69" i="19"/>
  <c r="I69" i="18"/>
  <c r="I68" i="18"/>
  <c r="I67" i="18"/>
  <c r="I66" i="18"/>
  <c r="I65" i="18"/>
  <c r="I64" i="18"/>
  <c r="R69" i="18"/>
  <c r="R68" i="18"/>
  <c r="R67" i="18"/>
  <c r="R66" i="18"/>
  <c r="R65" i="18"/>
  <c r="R64" i="18"/>
  <c r="N69" i="18"/>
  <c r="N68" i="18"/>
  <c r="N67" i="18"/>
  <c r="N66" i="18"/>
  <c r="N65" i="18"/>
  <c r="N64" i="18"/>
  <c r="E64" i="18"/>
  <c r="E65" i="18"/>
  <c r="E66" i="18"/>
  <c r="E67" i="18"/>
  <c r="E68" i="18"/>
  <c r="E69" i="18"/>
  <c r="B64" i="4"/>
  <c r="C64" i="4"/>
  <c r="D64" i="4"/>
  <c r="E64" i="4"/>
  <c r="F64" i="4"/>
  <c r="G64" i="4"/>
  <c r="H64" i="4"/>
  <c r="I64" i="4"/>
  <c r="J64" i="4"/>
  <c r="K64" i="4"/>
  <c r="B65" i="4"/>
  <c r="C65" i="4"/>
  <c r="D65" i="4"/>
  <c r="E65" i="4"/>
  <c r="F65" i="4"/>
  <c r="G65" i="4"/>
  <c r="H65" i="4"/>
  <c r="I65" i="4"/>
  <c r="J65" i="4"/>
  <c r="K65" i="4"/>
  <c r="B66" i="4"/>
  <c r="C66" i="4"/>
  <c r="D66" i="4"/>
  <c r="E66" i="4"/>
  <c r="F66" i="4"/>
  <c r="G66" i="4"/>
  <c r="H66" i="4"/>
  <c r="I66" i="4"/>
  <c r="J66" i="4"/>
  <c r="K66" i="4"/>
  <c r="B67" i="4"/>
  <c r="C67" i="4"/>
  <c r="D67" i="4"/>
  <c r="E67" i="4"/>
  <c r="F67" i="4"/>
  <c r="G67" i="4"/>
  <c r="H67" i="4"/>
  <c r="I67" i="4"/>
  <c r="J67" i="4"/>
  <c r="K67" i="4"/>
  <c r="B68" i="4"/>
  <c r="C68" i="4"/>
  <c r="D68" i="4"/>
  <c r="E68" i="4"/>
  <c r="F68" i="4"/>
  <c r="G68" i="4"/>
  <c r="H68" i="4"/>
  <c r="I68" i="4"/>
  <c r="J68" i="4"/>
  <c r="K68" i="4"/>
  <c r="B69" i="4"/>
  <c r="C69" i="4"/>
  <c r="D69" i="4"/>
  <c r="E69" i="4"/>
  <c r="F69" i="4"/>
  <c r="G69" i="4"/>
  <c r="H69" i="4"/>
  <c r="I69" i="4"/>
  <c r="J69" i="4"/>
  <c r="K69" i="4"/>
  <c r="B70" i="4"/>
  <c r="C70" i="4"/>
  <c r="D70" i="4"/>
  <c r="E70" i="4"/>
  <c r="F70" i="4"/>
  <c r="G70" i="4"/>
  <c r="H70" i="4"/>
  <c r="I70" i="4"/>
  <c r="J70" i="4"/>
  <c r="K70" i="4"/>
  <c r="B71" i="4"/>
  <c r="C71" i="4"/>
  <c r="D71" i="4"/>
  <c r="E71" i="4"/>
  <c r="F71" i="4"/>
  <c r="G71" i="4"/>
  <c r="H71" i="4"/>
  <c r="I71" i="4"/>
  <c r="J71" i="4"/>
  <c r="K71" i="4"/>
  <c r="B72" i="4"/>
  <c r="C72" i="4"/>
  <c r="D72" i="4"/>
  <c r="E72" i="4"/>
  <c r="F72" i="4"/>
  <c r="G72" i="4"/>
  <c r="H72" i="4"/>
  <c r="I72" i="4"/>
  <c r="J72" i="4"/>
  <c r="K72" i="4"/>
  <c r="U69" i="17"/>
  <c r="T69" i="17"/>
  <c r="S69" i="17"/>
  <c r="R69" i="17"/>
  <c r="Q69" i="17"/>
  <c r="P69" i="17"/>
  <c r="O69" i="17"/>
  <c r="N69" i="17"/>
  <c r="M69" i="17"/>
  <c r="L69" i="17"/>
  <c r="K69" i="17"/>
  <c r="J69" i="17"/>
  <c r="I69" i="17"/>
  <c r="H69" i="17"/>
  <c r="G69" i="17"/>
  <c r="F69" i="17"/>
  <c r="E69" i="17"/>
  <c r="D69" i="17"/>
  <c r="U68" i="17"/>
  <c r="T68" i="17"/>
  <c r="S68" i="17"/>
  <c r="R68" i="17"/>
  <c r="Q68" i="17"/>
  <c r="P68" i="17"/>
  <c r="O68" i="17"/>
  <c r="N68" i="17"/>
  <c r="M68" i="17"/>
  <c r="L68" i="17"/>
  <c r="K68" i="17"/>
  <c r="J68" i="17"/>
  <c r="I68" i="17"/>
  <c r="H68" i="17"/>
  <c r="G68" i="17"/>
  <c r="F68" i="17"/>
  <c r="E68" i="17"/>
  <c r="D68" i="17"/>
  <c r="U67" i="17"/>
  <c r="T67" i="17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U66" i="17"/>
  <c r="T66" i="17"/>
  <c r="S66" i="17"/>
  <c r="R66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U65" i="17"/>
  <c r="T65" i="17"/>
  <c r="S65" i="17"/>
  <c r="R65" i="17"/>
  <c r="Q65" i="17"/>
  <c r="P65" i="17"/>
  <c r="O65" i="17"/>
  <c r="N65" i="17"/>
  <c r="M65" i="17"/>
  <c r="L65" i="17"/>
  <c r="K65" i="17"/>
  <c r="J65" i="17"/>
  <c r="I65" i="17"/>
  <c r="H65" i="17"/>
  <c r="G65" i="17"/>
  <c r="F65" i="17"/>
  <c r="E65" i="17"/>
  <c r="D65" i="17"/>
  <c r="U64" i="17"/>
  <c r="T64" i="17"/>
  <c r="S64" i="17"/>
  <c r="R64" i="17"/>
  <c r="Q64" i="17"/>
  <c r="P64" i="17"/>
  <c r="O64" i="17"/>
  <c r="N64" i="17"/>
  <c r="M64" i="17"/>
  <c r="L64" i="17"/>
  <c r="K64" i="17"/>
  <c r="J64" i="17"/>
  <c r="I64" i="17"/>
  <c r="H64" i="17"/>
  <c r="G64" i="17"/>
  <c r="F64" i="17"/>
  <c r="E64" i="17"/>
  <c r="D64" i="17"/>
  <c r="S64" i="18"/>
  <c r="U64" i="18"/>
  <c r="S65" i="18"/>
  <c r="U65" i="18"/>
  <c r="S66" i="18"/>
  <c r="U66" i="18"/>
  <c r="S67" i="18"/>
  <c r="U67" i="18"/>
  <c r="S68" i="18"/>
  <c r="U68" i="18"/>
  <c r="S69" i="18"/>
  <c r="B69" i="17" s="1"/>
  <c r="U69" i="18"/>
  <c r="F59" i="9"/>
  <c r="F59" i="16"/>
  <c r="D59" i="16"/>
  <c r="B59" i="16"/>
  <c r="D59" i="15"/>
  <c r="N59" i="13"/>
  <c r="F59" i="13"/>
  <c r="X59" i="9"/>
  <c r="P59" i="9"/>
  <c r="O59" i="9"/>
  <c r="J58" i="24"/>
  <c r="F58" i="24"/>
  <c r="N58" i="13"/>
  <c r="D58" i="15"/>
  <c r="M58" i="13"/>
  <c r="L58" i="13"/>
  <c r="T58" i="1"/>
  <c r="F58" i="19"/>
  <c r="L58" i="18"/>
  <c r="Z51" i="1"/>
  <c r="AG51" i="1" s="1"/>
  <c r="AA58" i="1"/>
  <c r="L58" i="1"/>
  <c r="H58" i="24"/>
  <c r="D58" i="24"/>
  <c r="D58" i="13"/>
  <c r="H58" i="11"/>
  <c r="H58" i="5"/>
  <c r="K58" i="7"/>
  <c r="AB58" i="1"/>
  <c r="Z58" i="1"/>
  <c r="H58" i="19"/>
  <c r="Q58" i="18"/>
  <c r="M58" i="1"/>
  <c r="K58" i="1"/>
  <c r="F58" i="16"/>
  <c r="F58" i="13"/>
  <c r="E58" i="13"/>
  <c r="F58" i="11"/>
  <c r="V58" i="9"/>
  <c r="T58" i="9" s="1"/>
  <c r="AC58" i="9" s="1"/>
  <c r="H58" i="8" s="1"/>
  <c r="D58" i="9"/>
  <c r="D58" i="5"/>
  <c r="B58" i="5"/>
  <c r="J58" i="5" s="1"/>
  <c r="J58" i="17" s="1"/>
  <c r="H58" i="7"/>
  <c r="E58" i="7"/>
  <c r="B58" i="7"/>
  <c r="S58" i="1"/>
  <c r="R58" i="1"/>
  <c r="AG58" i="1"/>
  <c r="F58" i="1"/>
  <c r="E58" i="1"/>
  <c r="D58" i="1"/>
  <c r="B58" i="1"/>
  <c r="D58" i="19"/>
  <c r="B58" i="19"/>
  <c r="J58" i="18"/>
  <c r="H58" i="18"/>
  <c r="F58" i="18"/>
  <c r="B58" i="18"/>
  <c r="X58" i="9"/>
  <c r="B58" i="4"/>
  <c r="B58" i="16"/>
  <c r="H58" i="16"/>
  <c r="D58" i="16"/>
  <c r="B58" i="15"/>
  <c r="Q58" i="13"/>
  <c r="G58" i="9"/>
  <c r="AH58" i="9" s="1"/>
  <c r="Y58" i="9"/>
  <c r="P58" i="9"/>
  <c r="O58" i="9"/>
  <c r="F58" i="9"/>
  <c r="AG58" i="9"/>
  <c r="F58" i="5"/>
  <c r="J57" i="24"/>
  <c r="D57" i="24"/>
  <c r="H57" i="24"/>
  <c r="F57" i="24"/>
  <c r="B57" i="24"/>
  <c r="F57" i="16"/>
  <c r="M57" i="13"/>
  <c r="L57" i="13"/>
  <c r="J57" i="13"/>
  <c r="D57" i="12"/>
  <c r="E57" i="13"/>
  <c r="U57" i="13" s="1"/>
  <c r="D57" i="13"/>
  <c r="T57" i="13"/>
  <c r="H57" i="11"/>
  <c r="J57" i="11" s="1"/>
  <c r="N57" i="17" s="1"/>
  <c r="F57" i="11"/>
  <c r="V57" i="9"/>
  <c r="D57" i="9"/>
  <c r="H57" i="5"/>
  <c r="D57" i="5"/>
  <c r="B57" i="5"/>
  <c r="K57" i="7"/>
  <c r="H57" i="7"/>
  <c r="E57" i="7"/>
  <c r="B57" i="7"/>
  <c r="AB57" i="1"/>
  <c r="H57" i="19"/>
  <c r="Z57" i="1"/>
  <c r="T57" i="1"/>
  <c r="AI57" i="1" s="1"/>
  <c r="D57" i="17" s="1"/>
  <c r="R57" i="1"/>
  <c r="M57" i="1"/>
  <c r="L57" i="1"/>
  <c r="K57" i="1"/>
  <c r="I57" i="1" s="1"/>
  <c r="D57" i="4" s="1"/>
  <c r="F57" i="1"/>
  <c r="E57" i="1"/>
  <c r="D57" i="1"/>
  <c r="F57" i="19"/>
  <c r="D57" i="19"/>
  <c r="B57" i="19"/>
  <c r="Q57" i="18"/>
  <c r="O57" i="18"/>
  <c r="L57" i="18"/>
  <c r="J57" i="18"/>
  <c r="H57" i="18"/>
  <c r="F57" i="18"/>
  <c r="B57" i="18"/>
  <c r="F57" i="9"/>
  <c r="F57" i="13"/>
  <c r="AA57" i="1"/>
  <c r="X57" i="1" s="1"/>
  <c r="H57" i="4" s="1"/>
  <c r="Q57" i="13"/>
  <c r="Y57" i="9"/>
  <c r="X57" i="9"/>
  <c r="S57" i="1"/>
  <c r="P57" i="1" s="1"/>
  <c r="F57" i="4" s="1"/>
  <c r="D57" i="16"/>
  <c r="H57" i="16" s="1"/>
  <c r="T57" i="17" s="1"/>
  <c r="B57" i="16"/>
  <c r="B57" i="15"/>
  <c r="D57" i="15"/>
  <c r="G57" i="9"/>
  <c r="P57" i="9"/>
  <c r="O57" i="9"/>
  <c r="F56" i="5"/>
  <c r="F57" i="5"/>
  <c r="Z56" i="1"/>
  <c r="AH56" i="1"/>
  <c r="H56" i="7"/>
  <c r="L56" i="13"/>
  <c r="M56" i="13"/>
  <c r="F56" i="16"/>
  <c r="E56" i="13"/>
  <c r="T56" i="13"/>
  <c r="F56" i="11"/>
  <c r="J56" i="11"/>
  <c r="N56" i="17"/>
  <c r="V56" i="9"/>
  <c r="T56" i="1"/>
  <c r="R56" i="1"/>
  <c r="P56" i="1" s="1"/>
  <c r="F56" i="4" s="1"/>
  <c r="F56" i="19"/>
  <c r="H56" i="11"/>
  <c r="G56" i="9"/>
  <c r="F56" i="9"/>
  <c r="D56" i="9"/>
  <c r="AE56" i="9"/>
  <c r="H56" i="5"/>
  <c r="D56" i="5"/>
  <c r="B56" i="5"/>
  <c r="E56" i="7"/>
  <c r="B56" i="7"/>
  <c r="AB56" i="1"/>
  <c r="X56" i="1" s="1"/>
  <c r="H56" i="4" s="1"/>
  <c r="M56" i="1"/>
  <c r="K56" i="1"/>
  <c r="F56" i="1"/>
  <c r="D56" i="1"/>
  <c r="H56" i="19"/>
  <c r="J56" i="19" s="1"/>
  <c r="D56" i="19"/>
  <c r="B56" i="19"/>
  <c r="L56" i="18"/>
  <c r="Q56" i="18"/>
  <c r="H56" i="18"/>
  <c r="X56" i="9"/>
  <c r="Y56" i="9"/>
  <c r="D56" i="16"/>
  <c r="B56" i="16"/>
  <c r="D56" i="15"/>
  <c r="B56" i="15"/>
  <c r="P56" i="9"/>
  <c r="K56" i="9" s="1"/>
  <c r="D56" i="8" s="1"/>
  <c r="O56" i="9"/>
  <c r="K56" i="7"/>
  <c r="M55" i="13"/>
  <c r="L55" i="13"/>
  <c r="F55" i="16"/>
  <c r="E55" i="13"/>
  <c r="D55" i="13"/>
  <c r="H55" i="11"/>
  <c r="J55" i="11" s="1"/>
  <c r="N55" i="17" s="1"/>
  <c r="F55" i="11"/>
  <c r="X55" i="9"/>
  <c r="V55" i="9"/>
  <c r="D55" i="9"/>
  <c r="H55" i="5"/>
  <c r="D55" i="5"/>
  <c r="B55" i="5"/>
  <c r="K55" i="7"/>
  <c r="H55" i="7"/>
  <c r="E55" i="7"/>
  <c r="B55" i="7"/>
  <c r="AB55" i="1"/>
  <c r="Z55" i="1"/>
  <c r="T55" i="1"/>
  <c r="R55" i="1"/>
  <c r="M55" i="1"/>
  <c r="K55" i="1"/>
  <c r="I55" i="1" s="1"/>
  <c r="D55" i="4" s="1"/>
  <c r="F55" i="1"/>
  <c r="D55" i="1"/>
  <c r="AG55" i="1" s="1"/>
  <c r="AE55" i="1" s="1"/>
  <c r="F55" i="17" s="1"/>
  <c r="H55" i="19"/>
  <c r="F55" i="19"/>
  <c r="D55" i="19"/>
  <c r="B55" i="19"/>
  <c r="Q55" i="18"/>
  <c r="L55" i="18"/>
  <c r="H55" i="18"/>
  <c r="F55" i="9"/>
  <c r="D55" i="15"/>
  <c r="Y55" i="9"/>
  <c r="F55" i="5"/>
  <c r="G55" i="9"/>
  <c r="D55" i="16"/>
  <c r="B55" i="16"/>
  <c r="B55" i="15"/>
  <c r="P55" i="9"/>
  <c r="O55" i="9"/>
  <c r="K55" i="9" s="1"/>
  <c r="H54" i="11"/>
  <c r="H54" i="19"/>
  <c r="F54" i="16"/>
  <c r="Z54" i="1"/>
  <c r="Z53" i="1"/>
  <c r="AB54" i="1"/>
  <c r="H54" i="5"/>
  <c r="D54" i="15"/>
  <c r="M54" i="13"/>
  <c r="L54" i="13"/>
  <c r="D54" i="5"/>
  <c r="E54" i="7"/>
  <c r="M54" i="1"/>
  <c r="I54" i="1" s="1"/>
  <c r="D54" i="4" s="1"/>
  <c r="K54" i="1"/>
  <c r="D54" i="19"/>
  <c r="B54" i="15"/>
  <c r="E54" i="13"/>
  <c r="D54" i="13"/>
  <c r="F54" i="11"/>
  <c r="J54" i="11"/>
  <c r="N54" i="17" s="1"/>
  <c r="Y54" i="9"/>
  <c r="V54" i="9"/>
  <c r="D54" i="9"/>
  <c r="F54" i="5"/>
  <c r="B54" i="5"/>
  <c r="H54" i="7"/>
  <c r="B54" i="7"/>
  <c r="T54" i="1"/>
  <c r="R54" i="1"/>
  <c r="P54" i="1" s="1"/>
  <c r="F54" i="4" s="1"/>
  <c r="F54" i="1"/>
  <c r="D54" i="1"/>
  <c r="B54" i="1" s="1"/>
  <c r="B54" i="4" s="1"/>
  <c r="F54" i="19"/>
  <c r="F45" i="19"/>
  <c r="B54" i="19"/>
  <c r="Q54" i="18"/>
  <c r="L54" i="18"/>
  <c r="H54" i="18"/>
  <c r="L45" i="18"/>
  <c r="X54" i="9"/>
  <c r="G54" i="9"/>
  <c r="F54" i="9"/>
  <c r="D54" i="16"/>
  <c r="B54" i="16"/>
  <c r="P54" i="9"/>
  <c r="K54" i="9"/>
  <c r="D54" i="8" s="1"/>
  <c r="O54" i="9"/>
  <c r="K54" i="7"/>
  <c r="B53" i="5"/>
  <c r="D53" i="5"/>
  <c r="H53" i="5"/>
  <c r="E53" i="7"/>
  <c r="D53" i="19"/>
  <c r="M53" i="1"/>
  <c r="H53" i="19"/>
  <c r="K53" i="1"/>
  <c r="AB53" i="1"/>
  <c r="Q53" i="18"/>
  <c r="L53" i="18"/>
  <c r="H53" i="18"/>
  <c r="F53" i="19"/>
  <c r="B53" i="19"/>
  <c r="T53" i="1"/>
  <c r="R53" i="1"/>
  <c r="P53" i="1" s="1"/>
  <c r="F53" i="4" s="1"/>
  <c r="F53" i="1"/>
  <c r="B53" i="1" s="1"/>
  <c r="B53" i="4" s="1"/>
  <c r="D53" i="1"/>
  <c r="F53" i="5"/>
  <c r="H53" i="7"/>
  <c r="B53" i="7"/>
  <c r="X53" i="9"/>
  <c r="Y53" i="9"/>
  <c r="V53" i="9"/>
  <c r="F53" i="9"/>
  <c r="G53" i="9"/>
  <c r="D53" i="9"/>
  <c r="F53" i="16"/>
  <c r="D53" i="15"/>
  <c r="B53" i="15"/>
  <c r="F53" i="11"/>
  <c r="H53" i="11"/>
  <c r="M53" i="13"/>
  <c r="L53" i="13"/>
  <c r="E53" i="13"/>
  <c r="D53" i="13"/>
  <c r="T53" i="13"/>
  <c r="D53" i="16"/>
  <c r="B53" i="16"/>
  <c r="D53" i="11"/>
  <c r="P53" i="9"/>
  <c r="O53" i="9"/>
  <c r="K53" i="7"/>
  <c r="D52" i="5"/>
  <c r="B52" i="5"/>
  <c r="H52" i="18"/>
  <c r="H52" i="5"/>
  <c r="E52" i="13"/>
  <c r="D52" i="13"/>
  <c r="T52" i="13"/>
  <c r="H52" i="11"/>
  <c r="F52" i="11"/>
  <c r="X52" i="9"/>
  <c r="V52" i="9"/>
  <c r="H52" i="7"/>
  <c r="E52" i="7"/>
  <c r="AB52" i="1"/>
  <c r="Z52" i="1"/>
  <c r="X52" i="1" s="1"/>
  <c r="H52" i="4" s="1"/>
  <c r="T52" i="1"/>
  <c r="R52" i="1"/>
  <c r="M52" i="1"/>
  <c r="K52" i="1"/>
  <c r="I52" i="1" s="1"/>
  <c r="D52" i="4" s="1"/>
  <c r="D52" i="1"/>
  <c r="H52" i="19"/>
  <c r="F52" i="19"/>
  <c r="D52" i="19"/>
  <c r="L52" i="18"/>
  <c r="G52" i="9"/>
  <c r="F52" i="9"/>
  <c r="B52" i="9"/>
  <c r="D52" i="9"/>
  <c r="AE52" i="9"/>
  <c r="B52" i="7"/>
  <c r="F52" i="1"/>
  <c r="AI52" i="1" s="1"/>
  <c r="D52" i="17" s="1"/>
  <c r="B52" i="19"/>
  <c r="Q52" i="18"/>
  <c r="H51" i="11"/>
  <c r="J52" i="13"/>
  <c r="D52" i="12"/>
  <c r="F52" i="16"/>
  <c r="D52" i="16"/>
  <c r="B52" i="16"/>
  <c r="B52" i="15"/>
  <c r="D52" i="15"/>
  <c r="D52" i="11"/>
  <c r="Y52" i="9"/>
  <c r="T52" i="9"/>
  <c r="P52" i="9"/>
  <c r="O52" i="9"/>
  <c r="K52" i="9" s="1"/>
  <c r="D52" i="8"/>
  <c r="F52" i="5"/>
  <c r="K52" i="7"/>
  <c r="AB49" i="1"/>
  <c r="Q51" i="18"/>
  <c r="H51" i="19"/>
  <c r="B51" i="7"/>
  <c r="F51" i="16"/>
  <c r="D51" i="15"/>
  <c r="B51" i="15"/>
  <c r="M51" i="13"/>
  <c r="L51" i="13"/>
  <c r="E51" i="13"/>
  <c r="U51" i="13" s="1"/>
  <c r="D51" i="13"/>
  <c r="F51" i="11"/>
  <c r="Y51" i="9"/>
  <c r="X51" i="9"/>
  <c r="AG51" i="9" s="1"/>
  <c r="V51" i="9"/>
  <c r="G51" i="9"/>
  <c r="F51" i="9"/>
  <c r="D51" i="9"/>
  <c r="H51" i="5"/>
  <c r="F51" i="5"/>
  <c r="D51" i="5"/>
  <c r="B51" i="5"/>
  <c r="K51" i="7"/>
  <c r="H51" i="7"/>
  <c r="E51" i="7"/>
  <c r="AB51" i="1"/>
  <c r="T51" i="1"/>
  <c r="R51" i="1"/>
  <c r="M51" i="1"/>
  <c r="I51" i="1" s="1"/>
  <c r="D51" i="4" s="1"/>
  <c r="K51" i="1"/>
  <c r="F51" i="1"/>
  <c r="D51" i="1"/>
  <c r="F51" i="19"/>
  <c r="D51" i="19"/>
  <c r="B51" i="19"/>
  <c r="L51" i="18"/>
  <c r="H51" i="18"/>
  <c r="D51" i="16"/>
  <c r="B51" i="16"/>
  <c r="D51" i="11"/>
  <c r="P51" i="9"/>
  <c r="O51" i="9"/>
  <c r="K51" i="9" s="1"/>
  <c r="D51" i="8" s="1"/>
  <c r="L50" i="18"/>
  <c r="M50" i="13"/>
  <c r="U50" i="13"/>
  <c r="L50" i="13"/>
  <c r="H50" i="11"/>
  <c r="D50" i="15"/>
  <c r="B50" i="15"/>
  <c r="F50" i="15" s="1"/>
  <c r="R50" i="17" s="1"/>
  <c r="E50" i="13"/>
  <c r="D50" i="13"/>
  <c r="B50" i="13"/>
  <c r="B50" i="12" s="1"/>
  <c r="F50" i="11"/>
  <c r="V50" i="9"/>
  <c r="D50" i="9"/>
  <c r="F50" i="5"/>
  <c r="D50" i="5"/>
  <c r="B50" i="5"/>
  <c r="H50" i="7"/>
  <c r="E50" i="7"/>
  <c r="B50" i="7"/>
  <c r="AB50" i="1"/>
  <c r="Z50" i="1"/>
  <c r="X50" i="1" s="1"/>
  <c r="T50" i="1"/>
  <c r="R50" i="1"/>
  <c r="P50" i="1" s="1"/>
  <c r="F50" i="4" s="1"/>
  <c r="F50" i="1"/>
  <c r="D50" i="1"/>
  <c r="M50" i="1"/>
  <c r="K50" i="1"/>
  <c r="I50" i="1" s="1"/>
  <c r="D50" i="4" s="1"/>
  <c r="H50" i="19"/>
  <c r="F50" i="19"/>
  <c r="D50" i="19"/>
  <c r="B50" i="19"/>
  <c r="Q50" i="18"/>
  <c r="H50" i="18"/>
  <c r="F50" i="16"/>
  <c r="Y50" i="9"/>
  <c r="X50" i="9"/>
  <c r="G50" i="9"/>
  <c r="F50" i="9"/>
  <c r="K50" i="7"/>
  <c r="Q49" i="18"/>
  <c r="H50" i="5"/>
  <c r="M49" i="13"/>
  <c r="L49" i="13"/>
  <c r="H49" i="11"/>
  <c r="B49" i="7"/>
  <c r="B49" i="15"/>
  <c r="E49" i="13"/>
  <c r="D49" i="13"/>
  <c r="F49" i="11"/>
  <c r="B49" i="11"/>
  <c r="Y49" i="9"/>
  <c r="X49" i="9"/>
  <c r="V49" i="9"/>
  <c r="M49" i="9"/>
  <c r="G49" i="9"/>
  <c r="F49" i="9"/>
  <c r="D49" i="9"/>
  <c r="H49" i="5"/>
  <c r="F49" i="5"/>
  <c r="J49" i="5"/>
  <c r="J49" i="17"/>
  <c r="D49" i="5"/>
  <c r="B49" i="5"/>
  <c r="K49" i="7"/>
  <c r="H49" i="7"/>
  <c r="E49" i="7"/>
  <c r="Z49" i="1"/>
  <c r="X49" i="1" s="1"/>
  <c r="H49" i="4" s="1"/>
  <c r="T49" i="1"/>
  <c r="R49" i="1"/>
  <c r="P49" i="1" s="1"/>
  <c r="F49" i="4" s="1"/>
  <c r="M49" i="1"/>
  <c r="K49" i="1"/>
  <c r="F49" i="1"/>
  <c r="D49" i="1"/>
  <c r="B49" i="1" s="1"/>
  <c r="B49" i="4" s="1"/>
  <c r="H49" i="19"/>
  <c r="F49" i="19"/>
  <c r="D49" i="19"/>
  <c r="B49" i="19"/>
  <c r="L49" i="18"/>
  <c r="H49" i="18"/>
  <c r="B50" i="16"/>
  <c r="D50" i="16"/>
  <c r="H29" i="16"/>
  <c r="I29" i="16"/>
  <c r="H36" i="16"/>
  <c r="H37" i="16"/>
  <c r="H39" i="16"/>
  <c r="H40" i="16"/>
  <c r="T40" i="17"/>
  <c r="H41" i="16"/>
  <c r="H42" i="16"/>
  <c r="F43" i="16"/>
  <c r="H43" i="16"/>
  <c r="B44" i="16"/>
  <c r="H44" i="16" s="1"/>
  <c r="D44" i="16"/>
  <c r="F44" i="16"/>
  <c r="B45" i="16"/>
  <c r="D45" i="16"/>
  <c r="F45" i="16"/>
  <c r="B46" i="16"/>
  <c r="D46" i="16"/>
  <c r="F46" i="16"/>
  <c r="B47" i="16"/>
  <c r="D47" i="16"/>
  <c r="F47" i="16"/>
  <c r="B48" i="16"/>
  <c r="D48" i="16"/>
  <c r="F48" i="16"/>
  <c r="B49" i="16"/>
  <c r="H49" i="16" s="1"/>
  <c r="D49" i="16"/>
  <c r="T49" i="17"/>
  <c r="F49" i="16"/>
  <c r="G29" i="16"/>
  <c r="G30" i="16"/>
  <c r="G31" i="16"/>
  <c r="G32" i="16" s="1"/>
  <c r="G33" i="16" s="1"/>
  <c r="G34" i="16" s="1"/>
  <c r="G35" i="16" s="1"/>
  <c r="G36" i="16" s="1"/>
  <c r="G37" i="16"/>
  <c r="G38" i="16" s="1"/>
  <c r="G39" i="16" s="1"/>
  <c r="G40" i="16" s="1"/>
  <c r="G41" i="16" s="1"/>
  <c r="G42" i="16" s="1"/>
  <c r="G43" i="16" s="1"/>
  <c r="G44" i="16" s="1"/>
  <c r="G45" i="16" s="1"/>
  <c r="G46" i="16" s="1"/>
  <c r="G47" i="16" s="1"/>
  <c r="G48" i="16"/>
  <c r="G49" i="16" s="1"/>
  <c r="G50" i="16" s="1"/>
  <c r="G51" i="16" s="1"/>
  <c r="G52" i="16" s="1"/>
  <c r="G53" i="16" s="1"/>
  <c r="G54" i="16" s="1"/>
  <c r="G55" i="16" s="1"/>
  <c r="G56" i="16" s="1"/>
  <c r="G57" i="16" s="1"/>
  <c r="E29" i="16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C36" i="16"/>
  <c r="C37" i="16"/>
  <c r="C38" i="16"/>
  <c r="C39" i="16" s="1"/>
  <c r="C40" i="16" s="1"/>
  <c r="C41" i="16"/>
  <c r="C42" i="16" s="1"/>
  <c r="C43" i="16" s="1"/>
  <c r="C44" i="16" s="1"/>
  <c r="C45" i="16"/>
  <c r="C46" i="16" s="1"/>
  <c r="C47" i="16" s="1"/>
  <c r="C48" i="16" s="1"/>
  <c r="C49" i="16" s="1"/>
  <c r="C50" i="16" s="1"/>
  <c r="C51" i="16" s="1"/>
  <c r="C52" i="16" s="1"/>
  <c r="C53" i="16" s="1"/>
  <c r="C54" i="16" s="1"/>
  <c r="C55" i="16" s="1"/>
  <c r="C56" i="16" s="1"/>
  <c r="C57" i="16" s="1"/>
  <c r="C58" i="16" s="1"/>
  <c r="F29" i="15"/>
  <c r="G29" i="15"/>
  <c r="S29" i="17" s="1"/>
  <c r="F30" i="15"/>
  <c r="F31" i="15"/>
  <c r="R31" i="17"/>
  <c r="F32" i="15"/>
  <c r="R32" i="17" s="1"/>
  <c r="F33" i="15"/>
  <c r="F34" i="15"/>
  <c r="F35" i="15"/>
  <c r="R35" i="17"/>
  <c r="F36" i="15"/>
  <c r="F38" i="15"/>
  <c r="F39" i="15"/>
  <c r="F40" i="15"/>
  <c r="R40" i="17" s="1"/>
  <c r="F41" i="15"/>
  <c r="F42" i="15"/>
  <c r="B43" i="15"/>
  <c r="D43" i="15"/>
  <c r="F43" i="15" s="1"/>
  <c r="R43" i="17" s="1"/>
  <c r="B44" i="15"/>
  <c r="F44" i="15" s="1"/>
  <c r="D44" i="15"/>
  <c r="B45" i="15"/>
  <c r="D45" i="15"/>
  <c r="F45" i="15" s="1"/>
  <c r="B46" i="15"/>
  <c r="D46" i="15"/>
  <c r="F46" i="15" s="1"/>
  <c r="R46" i="17" s="1"/>
  <c r="D47" i="15"/>
  <c r="F47" i="15"/>
  <c r="B48" i="15"/>
  <c r="D48" i="15"/>
  <c r="D49" i="15"/>
  <c r="E32" i="15"/>
  <c r="E33" i="15"/>
  <c r="E34" i="15" s="1"/>
  <c r="E35" i="15" s="1"/>
  <c r="E36" i="15" s="1"/>
  <c r="E37" i="15" s="1"/>
  <c r="E38" i="15" s="1"/>
  <c r="E39" i="15" s="1"/>
  <c r="E40" i="15" s="1"/>
  <c r="E41" i="15" s="1"/>
  <c r="E42" i="15" s="1"/>
  <c r="C29" i="15"/>
  <c r="C30" i="15"/>
  <c r="C31" i="15"/>
  <c r="C32" i="15" s="1"/>
  <c r="C33" i="15" s="1"/>
  <c r="C34" i="15" s="1"/>
  <c r="C35" i="15" s="1"/>
  <c r="C36" i="15" s="1"/>
  <c r="C37" i="15" s="1"/>
  <c r="C38" i="15" s="1"/>
  <c r="C39" i="15" s="1"/>
  <c r="C40" i="15" s="1"/>
  <c r="C41" i="15" s="1"/>
  <c r="C42" i="15" s="1"/>
  <c r="C43" i="15" s="1"/>
  <c r="C44" i="15" s="1"/>
  <c r="C45" i="15" s="1"/>
  <c r="C46" i="15" s="1"/>
  <c r="C47" i="15" s="1"/>
  <c r="C48" i="15" s="1"/>
  <c r="C49" i="15" s="1"/>
  <c r="C50" i="15" s="1"/>
  <c r="C51" i="15" s="1"/>
  <c r="U29" i="13"/>
  <c r="X29" i="13" s="1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E44" i="13"/>
  <c r="M44" i="13"/>
  <c r="E45" i="13"/>
  <c r="M45" i="13"/>
  <c r="U45" i="13" s="1"/>
  <c r="E46" i="13"/>
  <c r="M46" i="13"/>
  <c r="E47" i="13"/>
  <c r="M47" i="13"/>
  <c r="E48" i="13"/>
  <c r="M48" i="13"/>
  <c r="T29" i="13"/>
  <c r="W29" i="13" s="1"/>
  <c r="W30" i="13" s="1"/>
  <c r="W31" i="13" s="1"/>
  <c r="W32" i="13" s="1"/>
  <c r="W33" i="13" s="1"/>
  <c r="T30" i="13"/>
  <c r="T31" i="13"/>
  <c r="T32" i="13"/>
  <c r="T33" i="13"/>
  <c r="T34" i="13"/>
  <c r="T35" i="13"/>
  <c r="T36" i="13"/>
  <c r="T37" i="13"/>
  <c r="T38" i="13"/>
  <c r="T39" i="13"/>
  <c r="T40" i="13"/>
  <c r="T41" i="13"/>
  <c r="T42" i="13"/>
  <c r="L43" i="13"/>
  <c r="J43" i="13"/>
  <c r="D43" i="12" s="1"/>
  <c r="D44" i="13"/>
  <c r="L44" i="13"/>
  <c r="T44" i="13" s="1"/>
  <c r="D45" i="13"/>
  <c r="L45" i="13"/>
  <c r="D46" i="13"/>
  <c r="L46" i="13"/>
  <c r="D47" i="13"/>
  <c r="T47" i="13" s="1"/>
  <c r="L47" i="13"/>
  <c r="D48" i="13"/>
  <c r="B48" i="13" s="1"/>
  <c r="L48" i="13"/>
  <c r="B30" i="13"/>
  <c r="C30" i="13"/>
  <c r="C31" i="13"/>
  <c r="C32" i="13" s="1"/>
  <c r="B31" i="13"/>
  <c r="B32" i="13"/>
  <c r="B33" i="13"/>
  <c r="B34" i="13"/>
  <c r="B34" i="12" s="1"/>
  <c r="B35" i="13"/>
  <c r="B36" i="13"/>
  <c r="B37" i="13"/>
  <c r="B38" i="13"/>
  <c r="B39" i="13"/>
  <c r="B40" i="13"/>
  <c r="B41" i="13"/>
  <c r="B42" i="13"/>
  <c r="B42" i="12" s="1"/>
  <c r="B43" i="13"/>
  <c r="J29" i="13"/>
  <c r="K29" i="13"/>
  <c r="J30" i="13"/>
  <c r="J31" i="13"/>
  <c r="J32" i="13"/>
  <c r="J33" i="13"/>
  <c r="J34" i="13"/>
  <c r="J35" i="13"/>
  <c r="J36" i="13"/>
  <c r="J37" i="13"/>
  <c r="J38" i="13"/>
  <c r="D38" i="12" s="1"/>
  <c r="J39" i="13"/>
  <c r="J40" i="13"/>
  <c r="J41" i="13"/>
  <c r="J42" i="13"/>
  <c r="P29" i="13"/>
  <c r="P30" i="13" s="1"/>
  <c r="P31" i="13" s="1"/>
  <c r="P32" i="13" s="1"/>
  <c r="P33" i="13"/>
  <c r="P34" i="13" s="1"/>
  <c r="P35" i="13" s="1"/>
  <c r="P36" i="13" s="1"/>
  <c r="P37" i="13" s="1"/>
  <c r="P38" i="13" s="1"/>
  <c r="P39" i="13" s="1"/>
  <c r="P40" i="13" s="1"/>
  <c r="P41" i="13" s="1"/>
  <c r="P42" i="13" s="1"/>
  <c r="P43" i="13" s="1"/>
  <c r="P44" i="13" s="1"/>
  <c r="P45" i="13" s="1"/>
  <c r="P46" i="13" s="1"/>
  <c r="P47" i="13" s="1"/>
  <c r="P48" i="13" s="1"/>
  <c r="P49" i="13" s="1"/>
  <c r="P50" i="13" s="1"/>
  <c r="P51" i="13" s="1"/>
  <c r="P52" i="13" s="1"/>
  <c r="P53" i="13" s="1"/>
  <c r="P54" i="13" s="1"/>
  <c r="P55" i="13" s="1"/>
  <c r="P56" i="13" s="1"/>
  <c r="O29" i="13"/>
  <c r="O30" i="13" s="1"/>
  <c r="O31" i="13" s="1"/>
  <c r="O32" i="13" s="1"/>
  <c r="O33" i="13" s="1"/>
  <c r="O34" i="13" s="1"/>
  <c r="O35" i="13" s="1"/>
  <c r="O36" i="13" s="1"/>
  <c r="O37" i="13" s="1"/>
  <c r="O38" i="13" s="1"/>
  <c r="O39" i="13" s="1"/>
  <c r="O40" i="13" s="1"/>
  <c r="O41" i="13" s="1"/>
  <c r="O42" i="13" s="1"/>
  <c r="O43" i="13" s="1"/>
  <c r="O44" i="13" s="1"/>
  <c r="O45" i="13"/>
  <c r="O46" i="13" s="1"/>
  <c r="O47" i="13" s="1"/>
  <c r="O48" i="13" s="1"/>
  <c r="O49" i="13" s="1"/>
  <c r="O50" i="13" s="1"/>
  <c r="O51" i="13" s="1"/>
  <c r="O52" i="13" s="1"/>
  <c r="O53" i="13" s="1"/>
  <c r="O54" i="13" s="1"/>
  <c r="O55" i="13" s="1"/>
  <c r="O56" i="13" s="1"/>
  <c r="O57" i="13" s="1"/>
  <c r="O58" i="13" s="1"/>
  <c r="O59" i="13" s="1"/>
  <c r="H30" i="13"/>
  <c r="H31" i="13"/>
  <c r="H32" i="13" s="1"/>
  <c r="H33" i="13" s="1"/>
  <c r="H34" i="13"/>
  <c r="H35" i="13" s="1"/>
  <c r="H36" i="13" s="1"/>
  <c r="H37" i="13" s="1"/>
  <c r="H38" i="13" s="1"/>
  <c r="H39" i="13" s="1"/>
  <c r="H40" i="13" s="1"/>
  <c r="H41" i="13" s="1"/>
  <c r="H42" i="13" s="1"/>
  <c r="H43" i="13" s="1"/>
  <c r="H44" i="13" s="1"/>
  <c r="H45" i="13" s="1"/>
  <c r="H46" i="13" s="1"/>
  <c r="H47" i="13" s="1"/>
  <c r="H48" i="13" s="1"/>
  <c r="H49" i="13" s="1"/>
  <c r="H50" i="13"/>
  <c r="H51" i="13" s="1"/>
  <c r="H52" i="13" s="1"/>
  <c r="H53" i="13" s="1"/>
  <c r="H54" i="13" s="1"/>
  <c r="H55" i="13" s="1"/>
  <c r="H56" i="13" s="1"/>
  <c r="H57" i="13" s="1"/>
  <c r="H58" i="13" s="1"/>
  <c r="G30" i="13"/>
  <c r="G31" i="13" s="1"/>
  <c r="G32" i="13" s="1"/>
  <c r="G33" i="13" s="1"/>
  <c r="G34" i="13" s="1"/>
  <c r="G35" i="13" s="1"/>
  <c r="G36" i="13" s="1"/>
  <c r="G37" i="13" s="1"/>
  <c r="G38" i="13"/>
  <c r="G39" i="13" s="1"/>
  <c r="G40" i="13" s="1"/>
  <c r="G41" i="13" s="1"/>
  <c r="G42" i="13" s="1"/>
  <c r="G43" i="13"/>
  <c r="G44" i="13" s="1"/>
  <c r="G45" i="13" s="1"/>
  <c r="G46" i="13" s="1"/>
  <c r="G47" i="13" s="1"/>
  <c r="G48" i="13" s="1"/>
  <c r="G49" i="13" s="1"/>
  <c r="G50" i="13" s="1"/>
  <c r="G51" i="13" s="1"/>
  <c r="G52" i="13" s="1"/>
  <c r="G53" i="13" s="1"/>
  <c r="G54" i="13" s="1"/>
  <c r="G55" i="13" s="1"/>
  <c r="G56" i="13" s="1"/>
  <c r="G57" i="13" s="1"/>
  <c r="C24" i="11"/>
  <c r="C25" i="11"/>
  <c r="C26" i="11" s="1"/>
  <c r="C27" i="11" s="1"/>
  <c r="C28" i="11" s="1"/>
  <c r="B44" i="11"/>
  <c r="B45" i="11"/>
  <c r="B46" i="11"/>
  <c r="B47" i="11"/>
  <c r="B48" i="11"/>
  <c r="D50" i="11"/>
  <c r="E33" i="11"/>
  <c r="E34" i="11"/>
  <c r="E35" i="11"/>
  <c r="E36" i="11" s="1"/>
  <c r="E37" i="11" s="1"/>
  <c r="E38" i="11" s="1"/>
  <c r="E39" i="11" s="1"/>
  <c r="E40" i="11"/>
  <c r="E41" i="11" s="1"/>
  <c r="E42" i="11" s="1"/>
  <c r="E43" i="11"/>
  <c r="E44" i="11" s="1"/>
  <c r="E45" i="11" s="1"/>
  <c r="E46" i="11" s="1"/>
  <c r="E47" i="11" s="1"/>
  <c r="E48" i="11"/>
  <c r="E49" i="11" s="1"/>
  <c r="E50" i="11" s="1"/>
  <c r="E51" i="11" s="1"/>
  <c r="E52" i="11" s="1"/>
  <c r="E53" i="11" s="1"/>
  <c r="E54" i="11" s="1"/>
  <c r="E55" i="11" s="1"/>
  <c r="E56" i="11" s="1"/>
  <c r="D44" i="11"/>
  <c r="D45" i="11"/>
  <c r="D46" i="11"/>
  <c r="D47" i="11"/>
  <c r="D48" i="11"/>
  <c r="D49" i="11"/>
  <c r="G23" i="11"/>
  <c r="F44" i="11"/>
  <c r="F45" i="11"/>
  <c r="F46" i="11"/>
  <c r="J46" i="11"/>
  <c r="N46" i="17"/>
  <c r="F47" i="11"/>
  <c r="F48" i="11"/>
  <c r="I27" i="11"/>
  <c r="I28" i="11"/>
  <c r="I29" i="11"/>
  <c r="I30" i="11"/>
  <c r="I31" i="11" s="1"/>
  <c r="I32" i="11" s="1"/>
  <c r="I33" i="11"/>
  <c r="I34" i="11" s="1"/>
  <c r="I35" i="11" s="1"/>
  <c r="I36" i="11" s="1"/>
  <c r="I37" i="11" s="1"/>
  <c r="I38" i="11" s="1"/>
  <c r="I39" i="11" s="1"/>
  <c r="I40" i="11" s="1"/>
  <c r="I41" i="11" s="1"/>
  <c r="I42" i="11" s="1"/>
  <c r="I43" i="11" s="1"/>
  <c r="I44" i="11" s="1"/>
  <c r="I45" i="11" s="1"/>
  <c r="I46" i="11" s="1"/>
  <c r="I47" i="11" s="1"/>
  <c r="I48" i="11" s="1"/>
  <c r="I49" i="11" s="1"/>
  <c r="I50" i="11" s="1"/>
  <c r="I51" i="11" s="1"/>
  <c r="I52" i="11" s="1"/>
  <c r="I53" i="11" s="1"/>
  <c r="H44" i="11"/>
  <c r="H45" i="11"/>
  <c r="H46" i="11"/>
  <c r="H47" i="11"/>
  <c r="H48" i="11"/>
  <c r="P50" i="9"/>
  <c r="AH36" i="9"/>
  <c r="AK36" i="9"/>
  <c r="AK37" i="9"/>
  <c r="AK38" i="9" s="1"/>
  <c r="AH37" i="9"/>
  <c r="AH38" i="9"/>
  <c r="AH39" i="9"/>
  <c r="AH40" i="9"/>
  <c r="AH41" i="9"/>
  <c r="AH42" i="9"/>
  <c r="G43" i="9"/>
  <c r="P43" i="9"/>
  <c r="G44" i="9"/>
  <c r="P44" i="9"/>
  <c r="AH44" i="9" s="1"/>
  <c r="Y44" i="9"/>
  <c r="G45" i="9"/>
  <c r="P45" i="9"/>
  <c r="Y45" i="9"/>
  <c r="G46" i="9"/>
  <c r="P46" i="9"/>
  <c r="AH46" i="9"/>
  <c r="Y46" i="9"/>
  <c r="T46" i="9" s="1"/>
  <c r="G47" i="9"/>
  <c r="P47" i="9"/>
  <c r="Y47" i="9"/>
  <c r="G48" i="9"/>
  <c r="P48" i="9"/>
  <c r="Y48" i="9"/>
  <c r="P49" i="9"/>
  <c r="AH49" i="9" s="1"/>
  <c r="O50" i="9"/>
  <c r="K50" i="9"/>
  <c r="AG35" i="9"/>
  <c r="AJ35" i="9" s="1"/>
  <c r="AG36" i="9"/>
  <c r="AG37" i="9"/>
  <c r="AG38" i="9"/>
  <c r="AG39" i="9"/>
  <c r="AG40" i="9"/>
  <c r="AG41" i="9"/>
  <c r="AG42" i="9"/>
  <c r="O43" i="9"/>
  <c r="AG43" i="9" s="1"/>
  <c r="F44" i="9"/>
  <c r="O44" i="9"/>
  <c r="X44" i="9"/>
  <c r="T44" i="9" s="1"/>
  <c r="F44" i="8" s="1"/>
  <c r="F45" i="9"/>
  <c r="O45" i="9"/>
  <c r="X45" i="9"/>
  <c r="F46" i="9"/>
  <c r="O46" i="9"/>
  <c r="X46" i="9"/>
  <c r="F47" i="9"/>
  <c r="AG47" i="9" s="1"/>
  <c r="O47" i="9"/>
  <c r="X47" i="9"/>
  <c r="F48" i="9"/>
  <c r="O48" i="9"/>
  <c r="X48" i="9"/>
  <c r="O49" i="9"/>
  <c r="K49" i="9"/>
  <c r="D49" i="8" s="1"/>
  <c r="AE23" i="9"/>
  <c r="AI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AE40" i="9"/>
  <c r="AE41" i="9"/>
  <c r="AE42" i="9"/>
  <c r="AE43" i="9"/>
  <c r="D44" i="9"/>
  <c r="M44" i="9"/>
  <c r="V44" i="9"/>
  <c r="D45" i="9"/>
  <c r="M45" i="9"/>
  <c r="V45" i="9"/>
  <c r="D46" i="9"/>
  <c r="M46" i="9"/>
  <c r="V46" i="9"/>
  <c r="F46" i="8"/>
  <c r="D47" i="9"/>
  <c r="M47" i="9"/>
  <c r="V47" i="9"/>
  <c r="D48" i="9"/>
  <c r="M48" i="9"/>
  <c r="V48" i="9"/>
  <c r="B23" i="9"/>
  <c r="B24" i="9"/>
  <c r="B25" i="9"/>
  <c r="B26" i="9"/>
  <c r="B27" i="9"/>
  <c r="AC27" i="9" s="1"/>
  <c r="B28" i="9"/>
  <c r="AC28" i="9" s="1"/>
  <c r="H28" i="8" s="1"/>
  <c r="L28" i="17" s="1"/>
  <c r="B29" i="9"/>
  <c r="B30" i="9"/>
  <c r="B30" i="8" s="1"/>
  <c r="B31" i="9"/>
  <c r="B32" i="9"/>
  <c r="B33" i="9"/>
  <c r="B34" i="9"/>
  <c r="B35" i="9"/>
  <c r="B36" i="9"/>
  <c r="B37" i="9"/>
  <c r="B37" i="8"/>
  <c r="B38" i="9"/>
  <c r="B39" i="9"/>
  <c r="B40" i="9"/>
  <c r="B40" i="8"/>
  <c r="B41" i="9"/>
  <c r="B42" i="9"/>
  <c r="T24" i="9"/>
  <c r="U24" i="9"/>
  <c r="G24" i="8" s="1"/>
  <c r="T25" i="9"/>
  <c r="T26" i="9"/>
  <c r="T27" i="9"/>
  <c r="F27" i="8"/>
  <c r="T28" i="9"/>
  <c r="T29" i="9"/>
  <c r="T30" i="9"/>
  <c r="T31" i="9"/>
  <c r="F31" i="8" s="1"/>
  <c r="T32" i="9"/>
  <c r="T33" i="9"/>
  <c r="T34" i="9"/>
  <c r="T35" i="9"/>
  <c r="F35" i="8"/>
  <c r="T36" i="9"/>
  <c r="T37" i="9"/>
  <c r="F37" i="8" s="1"/>
  <c r="T38" i="9"/>
  <c r="T39" i="9"/>
  <c r="F39" i="8"/>
  <c r="T40" i="9"/>
  <c r="T41" i="9"/>
  <c r="F41" i="8"/>
  <c r="T42" i="9"/>
  <c r="T43" i="9"/>
  <c r="AB37" i="9"/>
  <c r="AB38" i="9"/>
  <c r="AB39" i="9"/>
  <c r="AB40" i="9" s="1"/>
  <c r="AB41" i="9" s="1"/>
  <c r="AB42" i="9"/>
  <c r="AB43" i="9" s="1"/>
  <c r="AB44" i="9" s="1"/>
  <c r="AB45" i="9" s="1"/>
  <c r="AB46" i="9" s="1"/>
  <c r="AB47" i="9"/>
  <c r="AB48" i="9" s="1"/>
  <c r="AB49" i="9" s="1"/>
  <c r="AB50" i="9"/>
  <c r="AB51" i="9" s="1"/>
  <c r="AB52" i="9" s="1"/>
  <c r="AB53" i="9" s="1"/>
  <c r="AB54" i="9" s="1"/>
  <c r="AB55" i="9" s="1"/>
  <c r="AB56" i="9" s="1"/>
  <c r="AB57" i="9" s="1"/>
  <c r="AB58" i="9" s="1"/>
  <c r="AB59" i="9" s="1"/>
  <c r="AB60" i="9" s="1"/>
  <c r="AB61" i="9" s="1"/>
  <c r="AB62" i="9" s="1"/>
  <c r="AB63" i="9" s="1"/>
  <c r="AA35" i="9"/>
  <c r="AA36" i="9"/>
  <c r="AA37" i="9" s="1"/>
  <c r="AA38" i="9" s="1"/>
  <c r="AA39" i="9" s="1"/>
  <c r="AA40" i="9" s="1"/>
  <c r="AA41" i="9" s="1"/>
  <c r="AA42" i="9" s="1"/>
  <c r="AA43" i="9" s="1"/>
  <c r="AA44" i="9"/>
  <c r="AA45" i="9" s="1"/>
  <c r="AA46" i="9" s="1"/>
  <c r="AA47" i="9" s="1"/>
  <c r="AA48" i="9" s="1"/>
  <c r="AA49" i="9" s="1"/>
  <c r="Z24" i="9"/>
  <c r="Z25" i="9"/>
  <c r="Z26" i="9"/>
  <c r="Z27" i="9" s="1"/>
  <c r="Z28" i="9" s="1"/>
  <c r="Z29" i="9" s="1"/>
  <c r="Z30" i="9" s="1"/>
  <c r="Z31" i="9" s="1"/>
  <c r="Z32" i="9" s="1"/>
  <c r="Z33" i="9" s="1"/>
  <c r="Z34" i="9" s="1"/>
  <c r="Z35" i="9" s="1"/>
  <c r="Z36" i="9" s="1"/>
  <c r="Z37" i="9" s="1"/>
  <c r="Z38" i="9" s="1"/>
  <c r="Z39" i="9" s="1"/>
  <c r="Z40" i="9" s="1"/>
  <c r="Z41" i="9" s="1"/>
  <c r="Z42" i="9" s="1"/>
  <c r="Z43" i="9" s="1"/>
  <c r="Z44" i="9" s="1"/>
  <c r="Z45" i="9"/>
  <c r="Z46" i="9" s="1"/>
  <c r="Z47" i="9" s="1"/>
  <c r="Z48" i="9" s="1"/>
  <c r="Z49" i="9" s="1"/>
  <c r="Z50" i="9" s="1"/>
  <c r="Z51" i="9" s="1"/>
  <c r="Z52" i="9" s="1"/>
  <c r="Z53" i="9" s="1"/>
  <c r="Z54" i="9" s="1"/>
  <c r="Z55" i="9" s="1"/>
  <c r="Z56" i="9" s="1"/>
  <c r="Z57" i="9" s="1"/>
  <c r="Z58" i="9" s="1"/>
  <c r="Z59" i="9" s="1"/>
  <c r="S36" i="9"/>
  <c r="S37" i="9"/>
  <c r="S38" i="9" s="1"/>
  <c r="S39" i="9" s="1"/>
  <c r="S40" i="9" s="1"/>
  <c r="S41" i="9" s="1"/>
  <c r="S42" i="9" s="1"/>
  <c r="S43" i="9" s="1"/>
  <c r="S44" i="9" s="1"/>
  <c r="S45" i="9" s="1"/>
  <c r="S46" i="9" s="1"/>
  <c r="S47" i="9" s="1"/>
  <c r="S48" i="9" s="1"/>
  <c r="S49" i="9" s="1"/>
  <c r="S50" i="9" s="1"/>
  <c r="S51" i="9" s="1"/>
  <c r="S52" i="9" s="1"/>
  <c r="S53" i="9" s="1"/>
  <c r="S54" i="9" s="1"/>
  <c r="S55" i="9" s="1"/>
  <c r="Q27" i="9"/>
  <c r="Q28" i="9"/>
  <c r="Q29" i="9"/>
  <c r="Q30" i="9" s="1"/>
  <c r="Q31" i="9" s="1"/>
  <c r="Q32" i="9"/>
  <c r="Q33" i="9" s="1"/>
  <c r="Q34" i="9" s="1"/>
  <c r="Q35" i="9" s="1"/>
  <c r="Q36" i="9" s="1"/>
  <c r="Q37" i="9" s="1"/>
  <c r="Q38" i="9" s="1"/>
  <c r="Q39" i="9" s="1"/>
  <c r="Q40" i="9" s="1"/>
  <c r="Q41" i="9" s="1"/>
  <c r="Q42" i="9" s="1"/>
  <c r="Q43" i="9" s="1"/>
  <c r="Q44" i="9" s="1"/>
  <c r="Q45" i="9" s="1"/>
  <c r="Q46" i="9" s="1"/>
  <c r="Q47" i="9" s="1"/>
  <c r="Q48" i="9" s="1"/>
  <c r="Q49" i="9" s="1"/>
  <c r="Q50" i="9" s="1"/>
  <c r="Q51" i="9" s="1"/>
  <c r="Q52" i="9" s="1"/>
  <c r="Q53" i="9"/>
  <c r="Q54" i="9" s="1"/>
  <c r="Q55" i="9" s="1"/>
  <c r="Q56" i="9" s="1"/>
  <c r="Q57" i="9" s="1"/>
  <c r="Q58" i="9" s="1"/>
  <c r="Q59" i="9" s="1"/>
  <c r="Q60" i="9" s="1"/>
  <c r="Q61" i="9" s="1"/>
  <c r="Q62" i="9" s="1"/>
  <c r="Q63" i="9" s="1"/>
  <c r="J37" i="9"/>
  <c r="J38" i="9"/>
  <c r="J39" i="9" s="1"/>
  <c r="J40" i="9" s="1"/>
  <c r="J41" i="9"/>
  <c r="J42" i="9" s="1"/>
  <c r="J43" i="9" s="1"/>
  <c r="J44" i="9" s="1"/>
  <c r="J45" i="9" s="1"/>
  <c r="J46" i="9" s="1"/>
  <c r="J47" i="9" s="1"/>
  <c r="J48" i="9" s="1"/>
  <c r="J49" i="9" s="1"/>
  <c r="J50" i="9" s="1"/>
  <c r="J51" i="9" s="1"/>
  <c r="J52" i="9" s="1"/>
  <c r="J53" i="9" s="1"/>
  <c r="J54" i="9" s="1"/>
  <c r="J55" i="9" s="1"/>
  <c r="J56" i="9" s="1"/>
  <c r="J57" i="9" s="1"/>
  <c r="J58" i="9" s="1"/>
  <c r="J59" i="9" s="1"/>
  <c r="I35" i="9"/>
  <c r="I36" i="9"/>
  <c r="I37" i="9"/>
  <c r="I38" i="9" s="1"/>
  <c r="I39" i="9" s="1"/>
  <c r="I40" i="9" s="1"/>
  <c r="I41" i="9" s="1"/>
  <c r="I42" i="9" s="1"/>
  <c r="I43" i="9" s="1"/>
  <c r="I44" i="9"/>
  <c r="H23" i="9"/>
  <c r="H24" i="9" s="1"/>
  <c r="H25" i="9" s="1"/>
  <c r="H26" i="9" s="1"/>
  <c r="H27" i="9" s="1"/>
  <c r="H28" i="9" s="1"/>
  <c r="H29" i="9" s="1"/>
  <c r="H30" i="9" s="1"/>
  <c r="H31" i="9" s="1"/>
  <c r="H32" i="9" s="1"/>
  <c r="H33" i="9" s="1"/>
  <c r="H34" i="9" s="1"/>
  <c r="H35" i="9" s="1"/>
  <c r="H36" i="9" s="1"/>
  <c r="H37" i="9" s="1"/>
  <c r="H38" i="9" s="1"/>
  <c r="H39" i="9" s="1"/>
  <c r="H40" i="9" s="1"/>
  <c r="H41" i="9" s="1"/>
  <c r="H42" i="9" s="1"/>
  <c r="H43" i="9" s="1"/>
  <c r="H44" i="9" s="1"/>
  <c r="H45" i="9" s="1"/>
  <c r="H46" i="9" s="1"/>
  <c r="H47" i="9" s="1"/>
  <c r="H48" i="9" s="1"/>
  <c r="H49" i="9" s="1"/>
  <c r="H50" i="9" s="1"/>
  <c r="H51" i="9" s="1"/>
  <c r="H52" i="9" s="1"/>
  <c r="H53" i="9" s="1"/>
  <c r="H54" i="9" s="1"/>
  <c r="H55" i="9" s="1"/>
  <c r="H56" i="9" s="1"/>
  <c r="H57" i="9" s="1"/>
  <c r="H58" i="9" s="1"/>
  <c r="H59" i="9" s="1"/>
  <c r="H60" i="9" s="1"/>
  <c r="H61" i="9" s="1"/>
  <c r="H62" i="9" s="1"/>
  <c r="H63" i="9" s="1"/>
  <c r="C35" i="5"/>
  <c r="I35" i="5"/>
  <c r="J36" i="5"/>
  <c r="J37" i="5"/>
  <c r="J38" i="5"/>
  <c r="J40" i="5"/>
  <c r="J41" i="5"/>
  <c r="J42" i="5"/>
  <c r="J42" i="17" s="1"/>
  <c r="H43" i="5"/>
  <c r="J43" i="5"/>
  <c r="D44" i="5"/>
  <c r="F44" i="5"/>
  <c r="H44" i="5"/>
  <c r="B45" i="5"/>
  <c r="D45" i="5"/>
  <c r="F45" i="5"/>
  <c r="H45" i="5"/>
  <c r="B46" i="5"/>
  <c r="D46" i="5"/>
  <c r="F46" i="5"/>
  <c r="H46" i="5"/>
  <c r="B47" i="5"/>
  <c r="D47" i="5"/>
  <c r="F47" i="5"/>
  <c r="H47" i="5"/>
  <c r="B48" i="5"/>
  <c r="D48" i="5"/>
  <c r="F48" i="5"/>
  <c r="H48" i="5"/>
  <c r="G42" i="5"/>
  <c r="G43" i="5" s="1"/>
  <c r="E40" i="5"/>
  <c r="E41" i="5"/>
  <c r="E42" i="5"/>
  <c r="E43" i="5" s="1"/>
  <c r="E44" i="5" s="1"/>
  <c r="E45" i="5" s="1"/>
  <c r="E46" i="5"/>
  <c r="E47" i="5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D13" i="7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J13" i="7"/>
  <c r="N14" i="7"/>
  <c r="H14" i="17" s="1"/>
  <c r="N15" i="7"/>
  <c r="H15" i="17" s="1"/>
  <c r="N16" i="7"/>
  <c r="H16" i="17"/>
  <c r="N17" i="7"/>
  <c r="H17" i="17" s="1"/>
  <c r="N18" i="7"/>
  <c r="H18" i="17" s="1"/>
  <c r="N19" i="7"/>
  <c r="N20" i="7"/>
  <c r="H20" i="17" s="1"/>
  <c r="N21" i="7"/>
  <c r="H21" i="17" s="1"/>
  <c r="N22" i="7"/>
  <c r="N23" i="7"/>
  <c r="H23" i="17" s="1"/>
  <c r="N24" i="7"/>
  <c r="H24" i="17" s="1"/>
  <c r="N25" i="7"/>
  <c r="H25" i="17" s="1"/>
  <c r="N26" i="7"/>
  <c r="H26" i="17" s="1"/>
  <c r="N27" i="7"/>
  <c r="H27" i="17" s="1"/>
  <c r="N28" i="7"/>
  <c r="H28" i="17" s="1"/>
  <c r="N29" i="7"/>
  <c r="H29" i="17" s="1"/>
  <c r="N30" i="7"/>
  <c r="H30" i="17" s="1"/>
  <c r="N31" i="7"/>
  <c r="H31" i="17" s="1"/>
  <c r="N32" i="7"/>
  <c r="H32" i="17" s="1"/>
  <c r="N33" i="7"/>
  <c r="N34" i="7"/>
  <c r="H34" i="17" s="1"/>
  <c r="N35" i="7"/>
  <c r="H35" i="17" s="1"/>
  <c r="N36" i="7"/>
  <c r="N37" i="7"/>
  <c r="H37" i="17" s="1"/>
  <c r="N38" i="7"/>
  <c r="H38" i="17" s="1"/>
  <c r="N39" i="7"/>
  <c r="H39" i="17"/>
  <c r="N40" i="7"/>
  <c r="H40" i="17" s="1"/>
  <c r="N41" i="7"/>
  <c r="H41" i="17" s="1"/>
  <c r="N42" i="7"/>
  <c r="H42" i="17" s="1"/>
  <c r="E43" i="7"/>
  <c r="N43" i="7" s="1"/>
  <c r="H43" i="17" s="1"/>
  <c r="B44" i="7"/>
  <c r="E44" i="7"/>
  <c r="H44" i="7"/>
  <c r="K44" i="7"/>
  <c r="B45" i="7"/>
  <c r="E45" i="7"/>
  <c r="H45" i="7"/>
  <c r="K45" i="7"/>
  <c r="B46" i="7"/>
  <c r="E46" i="7"/>
  <c r="H46" i="7"/>
  <c r="K46" i="7"/>
  <c r="B47" i="7"/>
  <c r="E47" i="7"/>
  <c r="H47" i="7"/>
  <c r="K47" i="7"/>
  <c r="B48" i="7"/>
  <c r="E48" i="7"/>
  <c r="H48" i="7"/>
  <c r="K48" i="7"/>
  <c r="M24" i="7"/>
  <c r="M25" i="7" s="1"/>
  <c r="M26" i="7" s="1"/>
  <c r="M27" i="7" s="1"/>
  <c r="M28" i="7" s="1"/>
  <c r="M29" i="7" s="1"/>
  <c r="M30" i="7" s="1"/>
  <c r="M31" i="7" s="1"/>
  <c r="M32" i="7" s="1"/>
  <c r="M33" i="7" s="1"/>
  <c r="M34" i="7" s="1"/>
  <c r="M35" i="7" s="1"/>
  <c r="M36" i="7" s="1"/>
  <c r="M37" i="7" s="1"/>
  <c r="M38" i="7" s="1"/>
  <c r="M39" i="7" s="1"/>
  <c r="M40" i="7" s="1"/>
  <c r="M41" i="7" s="1"/>
  <c r="M42" i="7" s="1"/>
  <c r="M43" i="7" s="1"/>
  <c r="G25" i="7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AI50" i="1"/>
  <c r="AI3" i="1"/>
  <c r="D3" i="17" s="1"/>
  <c r="AI4" i="1"/>
  <c r="AI5" i="1"/>
  <c r="AI6" i="1"/>
  <c r="D6" i="17" s="1"/>
  <c r="AI7" i="1"/>
  <c r="AI8" i="1"/>
  <c r="AI9" i="1"/>
  <c r="D9" i="17" s="1"/>
  <c r="AI10" i="1"/>
  <c r="AI11" i="1"/>
  <c r="D11" i="17" s="1"/>
  <c r="AI12" i="1"/>
  <c r="AI13" i="1"/>
  <c r="AI14" i="1"/>
  <c r="AI15" i="1"/>
  <c r="AI16" i="1"/>
  <c r="AI17" i="1"/>
  <c r="D17" i="17" s="1"/>
  <c r="AI18" i="1"/>
  <c r="D18" i="17" s="1"/>
  <c r="AI19" i="1"/>
  <c r="D19" i="17" s="1"/>
  <c r="AI20" i="1"/>
  <c r="AI21" i="1"/>
  <c r="D21" i="17" s="1"/>
  <c r="AI22" i="1"/>
  <c r="AI23" i="1"/>
  <c r="AI24" i="1"/>
  <c r="AI25" i="1"/>
  <c r="D25" i="17" s="1"/>
  <c r="AI26" i="1"/>
  <c r="D26" i="17" s="1"/>
  <c r="AI27" i="1"/>
  <c r="D27" i="17" s="1"/>
  <c r="AI28" i="1"/>
  <c r="AI29" i="1"/>
  <c r="D29" i="17" s="1"/>
  <c r="AI30" i="1"/>
  <c r="AI31" i="1"/>
  <c r="AE31" i="1" s="1"/>
  <c r="AI32" i="1"/>
  <c r="AI33" i="1"/>
  <c r="AI34" i="1"/>
  <c r="D34" i="17" s="1"/>
  <c r="AI35" i="1"/>
  <c r="AE35" i="1" s="1"/>
  <c r="J35" i="4" s="1"/>
  <c r="AI36" i="1"/>
  <c r="AI37" i="1"/>
  <c r="D37" i="17" s="1"/>
  <c r="AI38" i="1"/>
  <c r="AI39" i="1"/>
  <c r="D39" i="17" s="1"/>
  <c r="AI40" i="1"/>
  <c r="AI41" i="1"/>
  <c r="D41" i="17" s="1"/>
  <c r="AI42" i="1"/>
  <c r="AI43" i="1"/>
  <c r="D43" i="17" s="1"/>
  <c r="F44" i="1"/>
  <c r="M44" i="1"/>
  <c r="I44" i="1" s="1"/>
  <c r="D44" i="4" s="1"/>
  <c r="T44" i="1"/>
  <c r="AB44" i="1"/>
  <c r="F45" i="1"/>
  <c r="M45" i="1"/>
  <c r="I45" i="1" s="1"/>
  <c r="D45" i="4" s="1"/>
  <c r="T45" i="1"/>
  <c r="AB45" i="1"/>
  <c r="F46" i="1"/>
  <c r="M46" i="1"/>
  <c r="T46" i="1"/>
  <c r="AB46" i="1"/>
  <c r="F47" i="1"/>
  <c r="M47" i="1"/>
  <c r="T47" i="1"/>
  <c r="AB47" i="1"/>
  <c r="F48" i="1"/>
  <c r="M48" i="1"/>
  <c r="T48" i="1"/>
  <c r="AB48" i="1"/>
  <c r="AG3" i="1"/>
  <c r="AJ3" i="1" s="1"/>
  <c r="AG4" i="1"/>
  <c r="AE4" i="1" s="1"/>
  <c r="AG5" i="1"/>
  <c r="AG6" i="1"/>
  <c r="AE6" i="1" s="1"/>
  <c r="AG7" i="1"/>
  <c r="AG8" i="1"/>
  <c r="AE8" i="1" s="1"/>
  <c r="F8" i="17" s="1"/>
  <c r="AG9" i="1"/>
  <c r="AG10" i="1"/>
  <c r="AE10" i="1" s="1"/>
  <c r="J10" i="4" s="1"/>
  <c r="AG11" i="1"/>
  <c r="AG12" i="1"/>
  <c r="AE12" i="1" s="1"/>
  <c r="AG13" i="1"/>
  <c r="AE13" i="1" s="1"/>
  <c r="J13" i="4" s="1"/>
  <c r="AG14" i="1"/>
  <c r="AG15" i="1"/>
  <c r="AG16" i="1"/>
  <c r="AE16" i="1" s="1"/>
  <c r="F16" i="17" s="1"/>
  <c r="AG17" i="1"/>
  <c r="AG18" i="1"/>
  <c r="AG19" i="1"/>
  <c r="AG20" i="1"/>
  <c r="AE20" i="1" s="1"/>
  <c r="AG21" i="1"/>
  <c r="AE21" i="1"/>
  <c r="J21" i="4" s="1"/>
  <c r="AG22" i="1"/>
  <c r="AG23" i="1"/>
  <c r="AG24" i="1"/>
  <c r="AG25" i="1"/>
  <c r="AE25" i="1" s="1"/>
  <c r="AG26" i="1"/>
  <c r="AG27" i="1"/>
  <c r="AE27" i="1" s="1"/>
  <c r="AG28" i="1"/>
  <c r="AG29" i="1"/>
  <c r="AE29" i="1" s="1"/>
  <c r="AG30" i="1"/>
  <c r="AG31" i="1"/>
  <c r="AG32" i="1"/>
  <c r="AE32" i="1" s="1"/>
  <c r="J32" i="4" s="1"/>
  <c r="AG33" i="1"/>
  <c r="AG34" i="1"/>
  <c r="AG35" i="1"/>
  <c r="AG36" i="1"/>
  <c r="AE36" i="1" s="1"/>
  <c r="AG37" i="1"/>
  <c r="AG38" i="1"/>
  <c r="AG39" i="1"/>
  <c r="AG40" i="1"/>
  <c r="AE40" i="1" s="1"/>
  <c r="F40" i="17" s="1"/>
  <c r="AG41" i="1"/>
  <c r="AG42" i="1"/>
  <c r="AG43" i="1"/>
  <c r="D44" i="1"/>
  <c r="B44" i="1" s="1"/>
  <c r="B44" i="4" s="1"/>
  <c r="K44" i="1"/>
  <c r="R44" i="1"/>
  <c r="Z44" i="1"/>
  <c r="X44" i="1" s="1"/>
  <c r="H44" i="4" s="1"/>
  <c r="D45" i="1"/>
  <c r="B45" i="1" s="1"/>
  <c r="B45" i="4" s="1"/>
  <c r="K45" i="1"/>
  <c r="R45" i="1"/>
  <c r="Z45" i="1"/>
  <c r="X45" i="1" s="1"/>
  <c r="H45" i="4" s="1"/>
  <c r="D46" i="1"/>
  <c r="K46" i="1"/>
  <c r="I46" i="1"/>
  <c r="D46" i="4" s="1"/>
  <c r="R46" i="1"/>
  <c r="Z46" i="1"/>
  <c r="D47" i="1"/>
  <c r="K47" i="1"/>
  <c r="R47" i="1"/>
  <c r="Z47" i="1"/>
  <c r="D48" i="1"/>
  <c r="B48" i="1" s="1"/>
  <c r="B48" i="4" s="1"/>
  <c r="K48" i="1"/>
  <c r="R48" i="1"/>
  <c r="Z48" i="1"/>
  <c r="AD7" i="1"/>
  <c r="AD8" i="1"/>
  <c r="AD9" i="1" s="1"/>
  <c r="AD10" i="1" s="1"/>
  <c r="AD11" i="1" s="1"/>
  <c r="AD12" i="1" s="1"/>
  <c r="AD13" i="1" s="1"/>
  <c r="AD14" i="1" s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7" i="1" s="1"/>
  <c r="AD48" i="1" s="1"/>
  <c r="AD49" i="1" s="1"/>
  <c r="AD50" i="1" s="1"/>
  <c r="AD51" i="1" s="1"/>
  <c r="AD52" i="1" s="1"/>
  <c r="AD53" i="1" s="1"/>
  <c r="AD54" i="1" s="1"/>
  <c r="AD55" i="1" s="1"/>
  <c r="AD56" i="1" s="1"/>
  <c r="AD57" i="1" s="1"/>
  <c r="AD58" i="1" s="1"/>
  <c r="AD59" i="1" s="1"/>
  <c r="AD60" i="1" s="1"/>
  <c r="AD61" i="1" s="1"/>
  <c r="AD62" i="1" s="1"/>
  <c r="AD63" i="1" s="1"/>
  <c r="AC7" i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X7" i="1"/>
  <c r="Y7" i="1" s="1"/>
  <c r="I7" i="4" s="1"/>
  <c r="X8" i="1"/>
  <c r="H8" i="4" s="1"/>
  <c r="X9" i="1"/>
  <c r="H9" i="4" s="1"/>
  <c r="X10" i="1"/>
  <c r="H10" i="4" s="1"/>
  <c r="X11" i="1"/>
  <c r="X12" i="1"/>
  <c r="X13" i="1"/>
  <c r="H13" i="4" s="1"/>
  <c r="X14" i="1"/>
  <c r="H14" i="4" s="1"/>
  <c r="X15" i="1"/>
  <c r="H15" i="4" s="1"/>
  <c r="X16" i="1"/>
  <c r="X17" i="1"/>
  <c r="H17" i="4" s="1"/>
  <c r="X18" i="1"/>
  <c r="H18" i="4" s="1"/>
  <c r="X19" i="1"/>
  <c r="H19" i="4" s="1"/>
  <c r="X20" i="1"/>
  <c r="X21" i="1"/>
  <c r="H21" i="4" s="1"/>
  <c r="X22" i="1"/>
  <c r="H22" i="4" s="1"/>
  <c r="X23" i="1"/>
  <c r="X24" i="1"/>
  <c r="H24" i="4" s="1"/>
  <c r="X25" i="1"/>
  <c r="H25" i="4" s="1"/>
  <c r="X26" i="1"/>
  <c r="H26" i="4" s="1"/>
  <c r="X27" i="1"/>
  <c r="X28" i="1"/>
  <c r="H28" i="4" s="1"/>
  <c r="X29" i="1"/>
  <c r="H29" i="4" s="1"/>
  <c r="X30" i="1"/>
  <c r="H30" i="4" s="1"/>
  <c r="X31" i="1"/>
  <c r="X32" i="1"/>
  <c r="H32" i="4" s="1"/>
  <c r="X33" i="1"/>
  <c r="H33" i="4" s="1"/>
  <c r="X34" i="1"/>
  <c r="H34" i="4" s="1"/>
  <c r="X35" i="1"/>
  <c r="X36" i="1"/>
  <c r="H36" i="4" s="1"/>
  <c r="X37" i="1"/>
  <c r="H37" i="4" s="1"/>
  <c r="X38" i="1"/>
  <c r="H38" i="4" s="1"/>
  <c r="X39" i="1"/>
  <c r="H39" i="4" s="1"/>
  <c r="X40" i="1"/>
  <c r="X41" i="1"/>
  <c r="H41" i="4" s="1"/>
  <c r="X42" i="1"/>
  <c r="H42" i="4" s="1"/>
  <c r="X43" i="1"/>
  <c r="H43" i="4" s="1"/>
  <c r="V4" i="1"/>
  <c r="V5" i="1" s="1"/>
  <c r="V6" i="1" s="1"/>
  <c r="V7" i="1"/>
  <c r="V8" i="1" s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U4" i="1"/>
  <c r="U5" i="1" s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P4" i="1"/>
  <c r="P5" i="1"/>
  <c r="F5" i="4" s="1"/>
  <c r="P6" i="1"/>
  <c r="F6" i="4" s="1"/>
  <c r="P7" i="1"/>
  <c r="P8" i="1"/>
  <c r="P9" i="1"/>
  <c r="F9" i="4" s="1"/>
  <c r="P10" i="1"/>
  <c r="P11" i="1"/>
  <c r="P12" i="1"/>
  <c r="F12" i="4" s="1"/>
  <c r="P13" i="1"/>
  <c r="F13" i="4" s="1"/>
  <c r="P14" i="1"/>
  <c r="P15" i="1"/>
  <c r="F15" i="4" s="1"/>
  <c r="P16" i="1"/>
  <c r="F16" i="4" s="1"/>
  <c r="P17" i="1"/>
  <c r="F17" i="4" s="1"/>
  <c r="P18" i="1"/>
  <c r="F18" i="4" s="1"/>
  <c r="P19" i="1"/>
  <c r="P20" i="1"/>
  <c r="F20" i="4" s="1"/>
  <c r="P21" i="1"/>
  <c r="F21" i="4" s="1"/>
  <c r="P22" i="1"/>
  <c r="P23" i="1"/>
  <c r="P24" i="1"/>
  <c r="F24" i="4" s="1"/>
  <c r="P25" i="1"/>
  <c r="F25" i="4" s="1"/>
  <c r="P26" i="1"/>
  <c r="P27" i="1"/>
  <c r="P28" i="1"/>
  <c r="P29" i="1"/>
  <c r="F29" i="4" s="1"/>
  <c r="P30" i="1"/>
  <c r="F30" i="4" s="1"/>
  <c r="P31" i="1"/>
  <c r="P32" i="1"/>
  <c r="F32" i="4" s="1"/>
  <c r="P33" i="1"/>
  <c r="F33" i="4" s="1"/>
  <c r="P34" i="1"/>
  <c r="F34" i="4" s="1"/>
  <c r="P35" i="1"/>
  <c r="F35" i="4" s="1"/>
  <c r="P36" i="1"/>
  <c r="F36" i="4" s="1"/>
  <c r="P37" i="1"/>
  <c r="F37" i="4" s="1"/>
  <c r="P38" i="1"/>
  <c r="P39" i="1"/>
  <c r="F39" i="4" s="1"/>
  <c r="P40" i="1"/>
  <c r="F40" i="4" s="1"/>
  <c r="P41" i="1"/>
  <c r="P42" i="1"/>
  <c r="P43" i="1"/>
  <c r="F43" i="4" s="1"/>
  <c r="O13" i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N8" i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I8" i="1"/>
  <c r="J8" i="1" s="1"/>
  <c r="I9" i="1"/>
  <c r="I10" i="1"/>
  <c r="D10" i="4" s="1"/>
  <c r="I11" i="1"/>
  <c r="D11" i="4" s="1"/>
  <c r="I12" i="1"/>
  <c r="D12" i="4" s="1"/>
  <c r="I13" i="1"/>
  <c r="I14" i="1"/>
  <c r="D14" i="4" s="1"/>
  <c r="I15" i="1"/>
  <c r="D15" i="4" s="1"/>
  <c r="I16" i="1"/>
  <c r="D16" i="4" s="1"/>
  <c r="I17" i="1"/>
  <c r="I18" i="1"/>
  <c r="D18" i="4" s="1"/>
  <c r="I19" i="1"/>
  <c r="D19" i="4" s="1"/>
  <c r="I20" i="1"/>
  <c r="D20" i="4" s="1"/>
  <c r="I21" i="1"/>
  <c r="D21" i="4" s="1"/>
  <c r="I22" i="1"/>
  <c r="D22" i="4" s="1"/>
  <c r="I23" i="1"/>
  <c r="D23" i="4" s="1"/>
  <c r="I24" i="1"/>
  <c r="D24" i="4" s="1"/>
  <c r="I25" i="1"/>
  <c r="D25" i="4"/>
  <c r="I26" i="1"/>
  <c r="D26" i="4" s="1"/>
  <c r="I27" i="1"/>
  <c r="I28" i="1"/>
  <c r="D28" i="4" s="1"/>
  <c r="I29" i="1"/>
  <c r="D29" i="4" s="1"/>
  <c r="I30" i="1"/>
  <c r="D30" i="4" s="1"/>
  <c r="I31" i="1"/>
  <c r="I32" i="1"/>
  <c r="D32" i="4" s="1"/>
  <c r="I33" i="1"/>
  <c r="D33" i="4" s="1"/>
  <c r="I34" i="1"/>
  <c r="I35" i="1"/>
  <c r="D35" i="4" s="1"/>
  <c r="I36" i="1"/>
  <c r="D36" i="4" s="1"/>
  <c r="I37" i="1"/>
  <c r="D37" i="4" s="1"/>
  <c r="I38" i="1"/>
  <c r="D38" i="4" s="1"/>
  <c r="I39" i="1"/>
  <c r="D39" i="4" s="1"/>
  <c r="I40" i="1"/>
  <c r="D40" i="4" s="1"/>
  <c r="I41" i="1"/>
  <c r="I42" i="1"/>
  <c r="D42" i="4" s="1"/>
  <c r="I43" i="1"/>
  <c r="D43" i="4" s="1"/>
  <c r="I49" i="1"/>
  <c r="D49" i="4" s="1"/>
  <c r="H3" i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C3" i="1"/>
  <c r="C3" i="4" s="1"/>
  <c r="B4" i="1"/>
  <c r="B4" i="4" s="1"/>
  <c r="B5" i="1"/>
  <c r="B6" i="1"/>
  <c r="B7" i="1"/>
  <c r="B7" i="4" s="1"/>
  <c r="B8" i="1"/>
  <c r="B8" i="4" s="1"/>
  <c r="B9" i="1"/>
  <c r="B10" i="1"/>
  <c r="B10" i="4" s="1"/>
  <c r="B11" i="1"/>
  <c r="B11" i="4" s="1"/>
  <c r="B12" i="1"/>
  <c r="B12" i="4" s="1"/>
  <c r="B13" i="1"/>
  <c r="B13" i="4" s="1"/>
  <c r="B14" i="1"/>
  <c r="B15" i="1"/>
  <c r="B16" i="1"/>
  <c r="B16" i="4" s="1"/>
  <c r="B17" i="1"/>
  <c r="B17" i="4" s="1"/>
  <c r="B18" i="1"/>
  <c r="B18" i="4" s="1"/>
  <c r="B19" i="1"/>
  <c r="B19" i="4" s="1"/>
  <c r="B20" i="1"/>
  <c r="B20" i="4" s="1"/>
  <c r="B21" i="1"/>
  <c r="B21" i="4" s="1"/>
  <c r="B22" i="1"/>
  <c r="B22" i="4" s="1"/>
  <c r="B23" i="1"/>
  <c r="B24" i="1"/>
  <c r="B24" i="4" s="1"/>
  <c r="B25" i="1"/>
  <c r="B26" i="1"/>
  <c r="B26" i="4" s="1"/>
  <c r="B27" i="1"/>
  <c r="B27" i="4" s="1"/>
  <c r="B28" i="1"/>
  <c r="B28" i="4" s="1"/>
  <c r="B29" i="1"/>
  <c r="B29" i="4" s="1"/>
  <c r="B30" i="1"/>
  <c r="B30" i="4" s="1"/>
  <c r="B31" i="1"/>
  <c r="B31" i="4" s="1"/>
  <c r="B32" i="1"/>
  <c r="B32" i="4" s="1"/>
  <c r="B33" i="1"/>
  <c r="B33" i="4" s="1"/>
  <c r="B34" i="1"/>
  <c r="B34" i="4" s="1"/>
  <c r="B35" i="1"/>
  <c r="B36" i="1"/>
  <c r="B36" i="4" s="1"/>
  <c r="B37" i="1"/>
  <c r="B37" i="4" s="1"/>
  <c r="B38" i="1"/>
  <c r="B38" i="4" s="1"/>
  <c r="B39" i="1"/>
  <c r="B40" i="1"/>
  <c r="B40" i="4" s="1"/>
  <c r="B41" i="1"/>
  <c r="B41" i="4" s="1"/>
  <c r="B42" i="1"/>
  <c r="B43" i="1"/>
  <c r="B43" i="4" s="1"/>
  <c r="B46" i="1"/>
  <c r="B46" i="4" s="1"/>
  <c r="H50" i="4"/>
  <c r="J50" i="19"/>
  <c r="J3" i="19"/>
  <c r="K3" i="19"/>
  <c r="J4" i="19"/>
  <c r="J5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B44" i="19"/>
  <c r="D44" i="19"/>
  <c r="F44" i="19"/>
  <c r="H44" i="19"/>
  <c r="B45" i="19"/>
  <c r="D45" i="19"/>
  <c r="J45" i="19" s="1"/>
  <c r="H45" i="19"/>
  <c r="B46" i="19"/>
  <c r="D46" i="19"/>
  <c r="F46" i="19"/>
  <c r="H46" i="19"/>
  <c r="B47" i="19"/>
  <c r="D47" i="19"/>
  <c r="F47" i="19"/>
  <c r="J47" i="19" s="1"/>
  <c r="H47" i="19"/>
  <c r="B48" i="19"/>
  <c r="D48" i="19"/>
  <c r="F48" i="19"/>
  <c r="H48" i="19"/>
  <c r="J49" i="19"/>
  <c r="I7" i="19"/>
  <c r="I8" i="19" s="1"/>
  <c r="I9" i="19"/>
  <c r="I10" i="19" s="1"/>
  <c r="I11" i="19" s="1"/>
  <c r="I12" i="19" s="1"/>
  <c r="I13" i="19" s="1"/>
  <c r="I14" i="19" s="1"/>
  <c r="I15" i="19" s="1"/>
  <c r="I16" i="19" s="1"/>
  <c r="I17" i="19" s="1"/>
  <c r="I18" i="19" s="1"/>
  <c r="I19" i="19" s="1"/>
  <c r="I20" i="19" s="1"/>
  <c r="I21" i="19" s="1"/>
  <c r="I22" i="19" s="1"/>
  <c r="I23" i="19" s="1"/>
  <c r="I24" i="19" s="1"/>
  <c r="I25" i="19" s="1"/>
  <c r="I26" i="19" s="1"/>
  <c r="I27" i="19" s="1"/>
  <c r="I28" i="19" s="1"/>
  <c r="I29" i="19" s="1"/>
  <c r="I30" i="19" s="1"/>
  <c r="I31" i="19" s="1"/>
  <c r="I32" i="19" s="1"/>
  <c r="I33" i="19" s="1"/>
  <c r="I34" i="19" s="1"/>
  <c r="I35" i="19" s="1"/>
  <c r="I36" i="19" s="1"/>
  <c r="I37" i="19" s="1"/>
  <c r="I38" i="19" s="1"/>
  <c r="I39" i="19" s="1"/>
  <c r="I40" i="19" s="1"/>
  <c r="I41" i="19" s="1"/>
  <c r="I42" i="19" s="1"/>
  <c r="I43" i="19" s="1"/>
  <c r="I44" i="19" s="1"/>
  <c r="I45" i="19" s="1"/>
  <c r="I46" i="19" s="1"/>
  <c r="I47" i="19" s="1"/>
  <c r="I48" i="19" s="1"/>
  <c r="I49" i="19" s="1"/>
  <c r="I50" i="19" s="1"/>
  <c r="I51" i="19" s="1"/>
  <c r="I52" i="19" s="1"/>
  <c r="I53" i="19" s="1"/>
  <c r="I54" i="19" s="1"/>
  <c r="I55" i="19" s="1"/>
  <c r="I56" i="19" s="1"/>
  <c r="I57" i="19" s="1"/>
  <c r="I58" i="19" s="1"/>
  <c r="G4" i="19"/>
  <c r="G5" i="19" s="1"/>
  <c r="G6" i="19"/>
  <c r="G7" i="19" s="1"/>
  <c r="G8" i="19" s="1"/>
  <c r="G9" i="19" s="1"/>
  <c r="G10" i="19" s="1"/>
  <c r="G11" i="19" s="1"/>
  <c r="G12" i="19" s="1"/>
  <c r="G13" i="19" s="1"/>
  <c r="G14" i="19" s="1"/>
  <c r="G15" i="19" s="1"/>
  <c r="G16" i="19" s="1"/>
  <c r="G17" i="19" s="1"/>
  <c r="G18" i="19" s="1"/>
  <c r="G19" i="19" s="1"/>
  <c r="G20" i="19" s="1"/>
  <c r="G21" i="19" s="1"/>
  <c r="G22" i="19" s="1"/>
  <c r="G23" i="19" s="1"/>
  <c r="G24" i="19" s="1"/>
  <c r="G25" i="19" s="1"/>
  <c r="G26" i="19" s="1"/>
  <c r="G27" i="19" s="1"/>
  <c r="G28" i="19" s="1"/>
  <c r="G29" i="19" s="1"/>
  <c r="G30" i="19" s="1"/>
  <c r="G31" i="19" s="1"/>
  <c r="G32" i="19" s="1"/>
  <c r="G33" i="19" s="1"/>
  <c r="G34" i="19" s="1"/>
  <c r="G35" i="19" s="1"/>
  <c r="G36" i="19" s="1"/>
  <c r="G37" i="19" s="1"/>
  <c r="G38" i="19" s="1"/>
  <c r="G39" i="19" s="1"/>
  <c r="G40" i="19" s="1"/>
  <c r="G41" i="19" s="1"/>
  <c r="G42" i="19" s="1"/>
  <c r="G43" i="19" s="1"/>
  <c r="G44" i="19" s="1"/>
  <c r="G45" i="19" s="1"/>
  <c r="G46" i="19" s="1"/>
  <c r="G47" i="19" s="1"/>
  <c r="G48" i="19" s="1"/>
  <c r="G49" i="19" s="1"/>
  <c r="G50" i="19" s="1"/>
  <c r="G51" i="19" s="1"/>
  <c r="G52" i="19" s="1"/>
  <c r="G53" i="19" s="1"/>
  <c r="G54" i="19" s="1"/>
  <c r="G55" i="19" s="1"/>
  <c r="G56" i="19" s="1"/>
  <c r="G57" i="19" s="1"/>
  <c r="G58" i="19" s="1"/>
  <c r="G59" i="19" s="1"/>
  <c r="E13" i="19"/>
  <c r="E14" i="19" s="1"/>
  <c r="E15" i="19" s="1"/>
  <c r="E16" i="19" s="1"/>
  <c r="E17" i="19" s="1"/>
  <c r="E18" i="19" s="1"/>
  <c r="E19" i="19" s="1"/>
  <c r="E20" i="19" s="1"/>
  <c r="E21" i="19" s="1"/>
  <c r="E22" i="19" s="1"/>
  <c r="E23" i="19" s="1"/>
  <c r="E24" i="19" s="1"/>
  <c r="E25" i="19" s="1"/>
  <c r="E26" i="19" s="1"/>
  <c r="E27" i="19" s="1"/>
  <c r="E28" i="19" s="1"/>
  <c r="E29" i="19" s="1"/>
  <c r="E30" i="19" s="1"/>
  <c r="E31" i="19" s="1"/>
  <c r="E32" i="19" s="1"/>
  <c r="E33" i="19" s="1"/>
  <c r="E34" i="19" s="1"/>
  <c r="E35" i="19" s="1"/>
  <c r="E36" i="19" s="1"/>
  <c r="E37" i="19" s="1"/>
  <c r="E38" i="19" s="1"/>
  <c r="E39" i="19" s="1"/>
  <c r="E40" i="19" s="1"/>
  <c r="E41" i="19" s="1"/>
  <c r="E42" i="19" s="1"/>
  <c r="E43" i="19" s="1"/>
  <c r="E44" i="19" s="1"/>
  <c r="E45" i="19" s="1"/>
  <c r="E46" i="19" s="1"/>
  <c r="E47" i="19" s="1"/>
  <c r="E48" i="19" s="1"/>
  <c r="E49" i="19" s="1"/>
  <c r="E50" i="19" s="1"/>
  <c r="E51" i="19" s="1"/>
  <c r="E52" i="19" s="1"/>
  <c r="E53" i="19" s="1"/>
  <c r="E54" i="19" s="1"/>
  <c r="E55" i="19" s="1"/>
  <c r="E56" i="19" s="1"/>
  <c r="E57" i="19" s="1"/>
  <c r="E58" i="19" s="1"/>
  <c r="E59" i="19" s="1"/>
  <c r="C3" i="19"/>
  <c r="C4" i="19"/>
  <c r="C5" i="19" s="1"/>
  <c r="C6" i="19" s="1"/>
  <c r="C7" i="19" s="1"/>
  <c r="C8" i="19" s="1"/>
  <c r="C9" i="19" s="1"/>
  <c r="C10" i="19" s="1"/>
  <c r="C11" i="19" s="1"/>
  <c r="C12" i="19" s="1"/>
  <c r="C13" i="19" s="1"/>
  <c r="C14" i="19" s="1"/>
  <c r="C15" i="19" s="1"/>
  <c r="C16" i="19" s="1"/>
  <c r="C17" i="19" s="1"/>
  <c r="C18" i="19" s="1"/>
  <c r="C19" i="19" s="1"/>
  <c r="C20" i="19" s="1"/>
  <c r="C21" i="19" s="1"/>
  <c r="C22" i="19" s="1"/>
  <c r="C23" i="19" s="1"/>
  <c r="C24" i="19" s="1"/>
  <c r="C25" i="19" s="1"/>
  <c r="C26" i="19" s="1"/>
  <c r="C27" i="19" s="1"/>
  <c r="C28" i="19" s="1"/>
  <c r="C29" i="19" s="1"/>
  <c r="C30" i="19" s="1"/>
  <c r="C31" i="19" s="1"/>
  <c r="C32" i="19" s="1"/>
  <c r="C33" i="19" s="1"/>
  <c r="C34" i="19" s="1"/>
  <c r="C35" i="19" s="1"/>
  <c r="C36" i="19" s="1"/>
  <c r="C37" i="19" s="1"/>
  <c r="C38" i="19" s="1"/>
  <c r="C39" i="19" s="1"/>
  <c r="C40" i="19" s="1"/>
  <c r="C41" i="19" s="1"/>
  <c r="C42" i="19" s="1"/>
  <c r="C43" i="19" s="1"/>
  <c r="C44" i="19" s="1"/>
  <c r="C45" i="19" s="1"/>
  <c r="C46" i="19" s="1"/>
  <c r="C47" i="19" s="1"/>
  <c r="C48" i="19" s="1"/>
  <c r="C49" i="19" s="1"/>
  <c r="C50" i="19" s="1"/>
  <c r="C51" i="19" s="1"/>
  <c r="C52" i="19" s="1"/>
  <c r="C53" i="19" s="1"/>
  <c r="C54" i="19" s="1"/>
  <c r="C55" i="19" s="1"/>
  <c r="C56" i="19" s="1"/>
  <c r="C57" i="19" s="1"/>
  <c r="C58" i="19" s="1"/>
  <c r="C59" i="19" s="1"/>
  <c r="C60" i="19" s="1"/>
  <c r="C61" i="19" s="1"/>
  <c r="U20" i="18"/>
  <c r="V20" i="18" s="1"/>
  <c r="U21" i="18"/>
  <c r="B21" i="17" s="1"/>
  <c r="U22" i="18"/>
  <c r="B22" i="17"/>
  <c r="U23" i="18"/>
  <c r="B23" i="17" s="1"/>
  <c r="U24" i="18"/>
  <c r="B24" i="17"/>
  <c r="U25" i="18"/>
  <c r="B25" i="17" s="1"/>
  <c r="U26" i="18"/>
  <c r="B26" i="17" s="1"/>
  <c r="U27" i="18"/>
  <c r="B27" i="17" s="1"/>
  <c r="U28" i="18"/>
  <c r="B28" i="17" s="1"/>
  <c r="U29" i="18"/>
  <c r="B29" i="17" s="1"/>
  <c r="U30" i="18"/>
  <c r="B30" i="17" s="1"/>
  <c r="U31" i="18"/>
  <c r="B31" i="17" s="1"/>
  <c r="U32" i="18"/>
  <c r="U33" i="18"/>
  <c r="B33" i="17" s="1"/>
  <c r="U34" i="18"/>
  <c r="B34" i="17"/>
  <c r="U35" i="18"/>
  <c r="B35" i="17" s="1"/>
  <c r="U36" i="18"/>
  <c r="B36" i="17"/>
  <c r="U37" i="18"/>
  <c r="B37" i="17" s="1"/>
  <c r="U38" i="18"/>
  <c r="B38" i="17"/>
  <c r="U39" i="18"/>
  <c r="B39" i="17" s="1"/>
  <c r="U40" i="18"/>
  <c r="U41" i="18"/>
  <c r="B41" i="17"/>
  <c r="U42" i="18"/>
  <c r="B42" i="17" s="1"/>
  <c r="U43" i="18"/>
  <c r="B43" i="17" s="1"/>
  <c r="H44" i="18"/>
  <c r="L44" i="18"/>
  <c r="Q44" i="18"/>
  <c r="H45" i="18"/>
  <c r="Q45" i="18"/>
  <c r="H46" i="18"/>
  <c r="L46" i="18"/>
  <c r="Q46" i="18"/>
  <c r="U47" i="18"/>
  <c r="B47" i="17" s="1"/>
  <c r="H48" i="18"/>
  <c r="L48" i="18"/>
  <c r="Q48" i="18"/>
  <c r="R20" i="18"/>
  <c r="R21" i="18"/>
  <c r="R22" i="18" s="1"/>
  <c r="R23" i="18" s="1"/>
  <c r="R24" i="18" s="1"/>
  <c r="R25" i="18" s="1"/>
  <c r="R26" i="18" s="1"/>
  <c r="R27" i="18" s="1"/>
  <c r="R28" i="18" s="1"/>
  <c r="R29" i="18" s="1"/>
  <c r="R30" i="18" s="1"/>
  <c r="R31" i="18" s="1"/>
  <c r="R32" i="18" s="1"/>
  <c r="R33" i="18" s="1"/>
  <c r="R34" i="18" s="1"/>
  <c r="R35" i="18" s="1"/>
  <c r="R36" i="18" s="1"/>
  <c r="R37" i="18" s="1"/>
  <c r="R38" i="18" s="1"/>
  <c r="R39" i="18" s="1"/>
  <c r="R40" i="18" s="1"/>
  <c r="R41" i="18" s="1"/>
  <c r="R42" i="18" s="1"/>
  <c r="R43" i="18" s="1"/>
  <c r="N20" i="18"/>
  <c r="N21" i="18"/>
  <c r="N22" i="18"/>
  <c r="N23" i="18" s="1"/>
  <c r="N24" i="18" s="1"/>
  <c r="N25" i="18" s="1"/>
  <c r="N26" i="18"/>
  <c r="N27" i="18" s="1"/>
  <c r="N28" i="18" s="1"/>
  <c r="N29" i="18" s="1"/>
  <c r="N30" i="18" s="1"/>
  <c r="N31" i="18" s="1"/>
  <c r="N32" i="18" s="1"/>
  <c r="N33" i="18" s="1"/>
  <c r="N34" i="18" s="1"/>
  <c r="N35" i="18" s="1"/>
  <c r="N36" i="18" s="1"/>
  <c r="N37" i="18" s="1"/>
  <c r="N38" i="18" s="1"/>
  <c r="N39" i="18" s="1"/>
  <c r="N40" i="18" s="1"/>
  <c r="N41" i="18" s="1"/>
  <c r="N42" i="18" s="1"/>
  <c r="N43" i="18" s="1"/>
  <c r="N44" i="18" s="1"/>
  <c r="N45" i="18" s="1"/>
  <c r="I20" i="18"/>
  <c r="I21" i="18"/>
  <c r="I22" i="18" s="1"/>
  <c r="I23" i="18" s="1"/>
  <c r="I24" i="18" s="1"/>
  <c r="I25" i="18" s="1"/>
  <c r="I26" i="18" s="1"/>
  <c r="I27" i="18"/>
  <c r="I28" i="18" s="1"/>
  <c r="I29" i="18" s="1"/>
  <c r="I30" i="18" s="1"/>
  <c r="I31" i="18" s="1"/>
  <c r="I32" i="18" s="1"/>
  <c r="I33" i="18" s="1"/>
  <c r="I34" i="18" s="1"/>
  <c r="I35" i="18" s="1"/>
  <c r="I36" i="18" s="1"/>
  <c r="I37" i="18" s="1"/>
  <c r="I38" i="18" s="1"/>
  <c r="I39" i="18" s="1"/>
  <c r="I40" i="18" s="1"/>
  <c r="I41" i="18" s="1"/>
  <c r="I42" i="18" s="1"/>
  <c r="I43" i="18" s="1"/>
  <c r="I44" i="18" s="1"/>
  <c r="I45" i="18" s="1"/>
  <c r="E20" i="18"/>
  <c r="E21" i="18" s="1"/>
  <c r="E22" i="18" s="1"/>
  <c r="E23" i="18" s="1"/>
  <c r="E24" i="18" s="1"/>
  <c r="E25" i="18" s="1"/>
  <c r="E26" i="18" s="1"/>
  <c r="E27" i="18" s="1"/>
  <c r="E28" i="18" s="1"/>
  <c r="E29" i="18" s="1"/>
  <c r="E30" i="18" s="1"/>
  <c r="E31" i="18" s="1"/>
  <c r="E32" i="18" s="1"/>
  <c r="E33" i="18" s="1"/>
  <c r="E34" i="18" s="1"/>
  <c r="E35" i="18" s="1"/>
  <c r="E36" i="18" s="1"/>
  <c r="E37" i="18" s="1"/>
  <c r="E38" i="18" s="1"/>
  <c r="E39" i="18" s="1"/>
  <c r="E40" i="18" s="1"/>
  <c r="E41" i="18" s="1"/>
  <c r="E42" i="18" s="1"/>
  <c r="E43" i="18" s="1"/>
  <c r="E44" i="18" s="1"/>
  <c r="E45" i="18" s="1"/>
  <c r="E46" i="18" s="1"/>
  <c r="E47" i="18" s="1"/>
  <c r="E48" i="18" s="1"/>
  <c r="E49" i="18" s="1"/>
  <c r="E50" i="18" s="1"/>
  <c r="E51" i="18" s="1"/>
  <c r="E52" i="18" s="1"/>
  <c r="E53" i="18" s="1"/>
  <c r="E54" i="18" s="1"/>
  <c r="E55" i="18" s="1"/>
  <c r="E56" i="18" s="1"/>
  <c r="D50" i="17"/>
  <c r="K27" i="9"/>
  <c r="K29" i="9"/>
  <c r="K31" i="9"/>
  <c r="D31" i="8" s="1"/>
  <c r="K32" i="9"/>
  <c r="D32" i="8" s="1"/>
  <c r="K33" i="9"/>
  <c r="D33" i="8"/>
  <c r="K34" i="9"/>
  <c r="D34" i="8" s="1"/>
  <c r="K35" i="9"/>
  <c r="K36" i="9"/>
  <c r="K37" i="9"/>
  <c r="K40" i="9"/>
  <c r="K41" i="9"/>
  <c r="K42" i="9"/>
  <c r="AC42" i="9" s="1"/>
  <c r="H42" i="8" s="1"/>
  <c r="D42" i="8"/>
  <c r="K48" i="9"/>
  <c r="D48" i="8"/>
  <c r="R47" i="17"/>
  <c r="B48" i="12"/>
  <c r="J45" i="11"/>
  <c r="N45" i="17"/>
  <c r="J43" i="11"/>
  <c r="N43" i="17"/>
  <c r="J42" i="11"/>
  <c r="N42" i="17"/>
  <c r="J41" i="11"/>
  <c r="N41" i="17"/>
  <c r="J40" i="11"/>
  <c r="J39" i="11"/>
  <c r="N39" i="17" s="1"/>
  <c r="J38" i="11"/>
  <c r="N38" i="17" s="1"/>
  <c r="J37" i="11"/>
  <c r="N37" i="17" s="1"/>
  <c r="J36" i="11"/>
  <c r="N36" i="17" s="1"/>
  <c r="J35" i="11"/>
  <c r="N35" i="17" s="1"/>
  <c r="J34" i="11"/>
  <c r="N34" i="17"/>
  <c r="J33" i="11"/>
  <c r="N33" i="17" s="1"/>
  <c r="J32" i="11"/>
  <c r="N32" i="17" s="1"/>
  <c r="J31" i="11"/>
  <c r="N31" i="17" s="1"/>
  <c r="J30" i="11"/>
  <c r="N30" i="17" s="1"/>
  <c r="J29" i="11"/>
  <c r="N29" i="17" s="1"/>
  <c r="J28" i="11"/>
  <c r="N28" i="17"/>
  <c r="J27" i="11"/>
  <c r="N27" i="17" s="1"/>
  <c r="J26" i="11"/>
  <c r="N26" i="17"/>
  <c r="J25" i="11"/>
  <c r="N25" i="17" s="1"/>
  <c r="J24" i="11"/>
  <c r="N24" i="17" s="1"/>
  <c r="J23" i="11"/>
  <c r="N23" i="17" s="1"/>
  <c r="D30" i="8"/>
  <c r="AC39" i="9"/>
  <c r="H39" i="8" s="1"/>
  <c r="L39" i="17" s="1"/>
  <c r="AC30" i="9"/>
  <c r="H30" i="8" s="1"/>
  <c r="L30" i="17" s="1"/>
  <c r="AC24" i="9"/>
  <c r="H24" i="8"/>
  <c r="L24" i="17" s="1"/>
  <c r="F42" i="8"/>
  <c r="F40" i="8"/>
  <c r="F36" i="8"/>
  <c r="F34" i="8"/>
  <c r="F33" i="8"/>
  <c r="F32" i="8"/>
  <c r="F30" i="8"/>
  <c r="F29" i="8"/>
  <c r="F28" i="8"/>
  <c r="F24" i="8"/>
  <c r="B39" i="8"/>
  <c r="B38" i="8"/>
  <c r="B35" i="8"/>
  <c r="B34" i="8"/>
  <c r="B32" i="8"/>
  <c r="B31" i="8"/>
  <c r="B28" i="8"/>
  <c r="B27" i="8"/>
  <c r="B26" i="8"/>
  <c r="B24" i="8"/>
  <c r="B36" i="8"/>
  <c r="F43" i="8"/>
  <c r="C30" i="12"/>
  <c r="D42" i="12"/>
  <c r="F42" i="12" s="1"/>
  <c r="B41" i="12"/>
  <c r="F41" i="12"/>
  <c r="P41" i="17" s="1"/>
  <c r="D41" i="12"/>
  <c r="B40" i="12"/>
  <c r="F40" i="12" s="1"/>
  <c r="D40" i="12"/>
  <c r="P40" i="17"/>
  <c r="D39" i="12"/>
  <c r="B38" i="12"/>
  <c r="F38" i="12" s="1"/>
  <c r="D37" i="12"/>
  <c r="B36" i="12"/>
  <c r="F36" i="12" s="1"/>
  <c r="P36" i="17" s="1"/>
  <c r="D36" i="12"/>
  <c r="B35" i="12"/>
  <c r="D35" i="12"/>
  <c r="D34" i="12"/>
  <c r="B33" i="12"/>
  <c r="F33" i="12" s="1"/>
  <c r="P33" i="17" s="1"/>
  <c r="D33" i="12"/>
  <c r="B32" i="12"/>
  <c r="F32" i="12" s="1"/>
  <c r="D32" i="12"/>
  <c r="B31" i="12"/>
  <c r="F31" i="12"/>
  <c r="P31" i="17"/>
  <c r="D31" i="12"/>
  <c r="B30" i="12"/>
  <c r="F30" i="12"/>
  <c r="P30" i="17"/>
  <c r="D30" i="12"/>
  <c r="E29" i="12"/>
  <c r="G29" i="12"/>
  <c r="Q29" i="17"/>
  <c r="D29" i="12"/>
  <c r="F29" i="12" s="1"/>
  <c r="P29" i="17" s="1"/>
  <c r="B37" i="12"/>
  <c r="B39" i="12"/>
  <c r="S29" i="13"/>
  <c r="R29" i="13"/>
  <c r="R41" i="13"/>
  <c r="R40" i="13"/>
  <c r="R39" i="13"/>
  <c r="R37" i="13"/>
  <c r="R36" i="13"/>
  <c r="R35" i="13"/>
  <c r="R33" i="13"/>
  <c r="R32" i="13"/>
  <c r="R31" i="13"/>
  <c r="J16" i="4"/>
  <c r="H40" i="4"/>
  <c r="H35" i="4"/>
  <c r="H31" i="4"/>
  <c r="H27" i="4"/>
  <c r="H23" i="4"/>
  <c r="H20" i="4"/>
  <c r="H16" i="4"/>
  <c r="H12" i="4"/>
  <c r="H11" i="4"/>
  <c r="H7" i="4"/>
  <c r="F42" i="4"/>
  <c r="F41" i="4"/>
  <c r="F38" i="4"/>
  <c r="F31" i="4"/>
  <c r="F28" i="4"/>
  <c r="F23" i="4"/>
  <c r="F22" i="4"/>
  <c r="F19" i="4"/>
  <c r="F14" i="4"/>
  <c r="F11" i="4"/>
  <c r="F10" i="4"/>
  <c r="F8" i="4"/>
  <c r="F7" i="4"/>
  <c r="D41" i="4"/>
  <c r="D34" i="4"/>
  <c r="D31" i="4"/>
  <c r="D27" i="4"/>
  <c r="D17" i="4"/>
  <c r="D13" i="4"/>
  <c r="D9" i="4"/>
  <c r="B42" i="4"/>
  <c r="B39" i="4"/>
  <c r="B35" i="4"/>
  <c r="B25" i="4"/>
  <c r="B23" i="4"/>
  <c r="B15" i="4"/>
  <c r="B14" i="4"/>
  <c r="B9" i="4"/>
  <c r="B6" i="4"/>
  <c r="B5" i="4"/>
  <c r="B3" i="1"/>
  <c r="B3" i="4"/>
  <c r="F26" i="4"/>
  <c r="F27" i="4"/>
  <c r="N13" i="7"/>
  <c r="H13" i="17" s="1"/>
  <c r="J35" i="5"/>
  <c r="J35" i="17" s="1"/>
  <c r="R44" i="17"/>
  <c r="D40" i="17"/>
  <c r="D36" i="17"/>
  <c r="B40" i="17"/>
  <c r="B32" i="17"/>
  <c r="T43" i="17"/>
  <c r="T42" i="17"/>
  <c r="T41" i="17"/>
  <c r="T39" i="17"/>
  <c r="T37" i="17"/>
  <c r="T36" i="17"/>
  <c r="T29" i="17"/>
  <c r="R42" i="17"/>
  <c r="R41" i="17"/>
  <c r="R39" i="17"/>
  <c r="R38" i="17"/>
  <c r="R36" i="17"/>
  <c r="R34" i="17"/>
  <c r="R33" i="17"/>
  <c r="R30" i="17"/>
  <c r="R29" i="17"/>
  <c r="N40" i="17"/>
  <c r="J43" i="17"/>
  <c r="J41" i="17"/>
  <c r="J40" i="17"/>
  <c r="J39" i="17"/>
  <c r="J37" i="17"/>
  <c r="J36" i="17"/>
  <c r="H36" i="17"/>
  <c r="H33" i="17"/>
  <c r="H22" i="17"/>
  <c r="H19" i="17"/>
  <c r="F35" i="17"/>
  <c r="D33" i="17"/>
  <c r="D32" i="17"/>
  <c r="D31" i="17"/>
  <c r="D28" i="17"/>
  <c r="D24" i="17"/>
  <c r="D20" i="17"/>
  <c r="D16" i="17"/>
  <c r="D15" i="17"/>
  <c r="D13" i="17"/>
  <c r="D12" i="17"/>
  <c r="D10" i="17"/>
  <c r="D8" i="17"/>
  <c r="D4" i="17"/>
  <c r="U46" i="13"/>
  <c r="U49" i="13"/>
  <c r="B49" i="13"/>
  <c r="J49" i="13"/>
  <c r="D49" i="12" s="1"/>
  <c r="T49" i="13"/>
  <c r="AG46" i="1"/>
  <c r="H48" i="16"/>
  <c r="T48" i="17" s="1"/>
  <c r="T44" i="17"/>
  <c r="U48" i="13"/>
  <c r="J48" i="13"/>
  <c r="J44" i="13"/>
  <c r="D44" i="12" s="1"/>
  <c r="U47" i="13"/>
  <c r="J47" i="13"/>
  <c r="D47" i="12" s="1"/>
  <c r="B51" i="13"/>
  <c r="B51" i="12"/>
  <c r="J51" i="11"/>
  <c r="N51" i="17" s="1"/>
  <c r="AE51" i="9"/>
  <c r="J51" i="19"/>
  <c r="H52" i="16"/>
  <c r="T52" i="17" s="1"/>
  <c r="C52" i="15"/>
  <c r="C53" i="15" s="1"/>
  <c r="C54" i="15" s="1"/>
  <c r="C55" i="15" s="1"/>
  <c r="C56" i="15" s="1"/>
  <c r="C57" i="15" s="1"/>
  <c r="C58" i="15" s="1"/>
  <c r="C59" i="15" s="1"/>
  <c r="C60" i="15" s="1"/>
  <c r="C61" i="15" s="1"/>
  <c r="C62" i="15" s="1"/>
  <c r="C63" i="15" s="1"/>
  <c r="B52" i="13"/>
  <c r="B52" i="12" s="1"/>
  <c r="U52" i="13"/>
  <c r="AG52" i="9"/>
  <c r="J52" i="19"/>
  <c r="J53" i="13"/>
  <c r="D53" i="12" s="1"/>
  <c r="F53" i="15"/>
  <c r="R53" i="17" s="1"/>
  <c r="J53" i="5"/>
  <c r="J53" i="17" s="1"/>
  <c r="E54" i="16"/>
  <c r="E55" i="16" s="1"/>
  <c r="AC32" i="9"/>
  <c r="H32" i="8" s="1"/>
  <c r="L32" i="17" s="1"/>
  <c r="K43" i="9"/>
  <c r="D43" i="8"/>
  <c r="B48" i="9"/>
  <c r="B48" i="8"/>
  <c r="G58" i="16"/>
  <c r="G59" i="16" s="1"/>
  <c r="G60" i="16" s="1"/>
  <c r="G61" i="16" s="1"/>
  <c r="G62" i="16" s="1"/>
  <c r="G63" i="16" s="1"/>
  <c r="U54" i="13"/>
  <c r="B54" i="13"/>
  <c r="B54" i="12" s="1"/>
  <c r="J54" i="5"/>
  <c r="J54" i="17" s="1"/>
  <c r="J54" i="19"/>
  <c r="F54" i="15"/>
  <c r="J54" i="13"/>
  <c r="D54" i="12" s="1"/>
  <c r="T54" i="13"/>
  <c r="R54" i="17"/>
  <c r="X54" i="1"/>
  <c r="H54" i="4" s="1"/>
  <c r="AG54" i="1"/>
  <c r="I54" i="11"/>
  <c r="I55" i="11" s="1"/>
  <c r="I56" i="11" s="1"/>
  <c r="I57" i="11" s="1"/>
  <c r="I58" i="11" s="1"/>
  <c r="I59" i="11" s="1"/>
  <c r="I60" i="11" s="1"/>
  <c r="I61" i="11" s="1"/>
  <c r="I62" i="11" s="1"/>
  <c r="I63" i="11" s="1"/>
  <c r="D55" i="8"/>
  <c r="H55" i="16"/>
  <c r="T55" i="17" s="1"/>
  <c r="AG55" i="9"/>
  <c r="T55" i="9"/>
  <c r="F55" i="8" s="1"/>
  <c r="J55" i="5"/>
  <c r="J55" i="17" s="1"/>
  <c r="X55" i="1"/>
  <c r="H55" i="4" s="1"/>
  <c r="P55" i="1"/>
  <c r="F55" i="4" s="1"/>
  <c r="AI55" i="1"/>
  <c r="D55" i="17" s="1"/>
  <c r="J55" i="19"/>
  <c r="AG56" i="9"/>
  <c r="J56" i="13"/>
  <c r="D56" i="12"/>
  <c r="C31" i="12"/>
  <c r="T45" i="13"/>
  <c r="J45" i="13"/>
  <c r="D45" i="12" s="1"/>
  <c r="J38" i="17"/>
  <c r="G24" i="11"/>
  <c r="K23" i="11"/>
  <c r="O23" i="17"/>
  <c r="U53" i="13"/>
  <c r="B53" i="13"/>
  <c r="B23" i="8"/>
  <c r="C23" i="9"/>
  <c r="C23" i="8"/>
  <c r="AC23" i="9"/>
  <c r="H23" i="8" s="1"/>
  <c r="L23" i="17" s="1"/>
  <c r="AE46" i="9"/>
  <c r="AE44" i="9"/>
  <c r="B44" i="9"/>
  <c r="D8" i="4"/>
  <c r="U55" i="13"/>
  <c r="B55" i="13"/>
  <c r="B55" i="12"/>
  <c r="B46" i="9"/>
  <c r="B46" i="8" s="1"/>
  <c r="T46" i="13"/>
  <c r="J46" i="13"/>
  <c r="R46" i="13" s="1"/>
  <c r="B43" i="12"/>
  <c r="R43" i="13"/>
  <c r="AG44" i="9"/>
  <c r="AE49" i="9"/>
  <c r="T49" i="9"/>
  <c r="F49" i="8" s="1"/>
  <c r="J51" i="5"/>
  <c r="J51" i="17"/>
  <c r="B51" i="9"/>
  <c r="I30" i="16"/>
  <c r="I31" i="16" s="1"/>
  <c r="I32" i="16" s="1"/>
  <c r="U32" i="17" s="1"/>
  <c r="U29" i="17"/>
  <c r="B50" i="9"/>
  <c r="B50" i="8" s="1"/>
  <c r="AE50" i="9"/>
  <c r="J50" i="13"/>
  <c r="D50" i="12"/>
  <c r="F50" i="12" s="1"/>
  <c r="P50" i="17"/>
  <c r="T50" i="13"/>
  <c r="AH45" i="9"/>
  <c r="K45" i="9"/>
  <c r="D45" i="8"/>
  <c r="J47" i="11"/>
  <c r="N47" i="17" s="1"/>
  <c r="K30" i="13"/>
  <c r="R30" i="13"/>
  <c r="B44" i="13"/>
  <c r="U44" i="13"/>
  <c r="AG48" i="9"/>
  <c r="K47" i="9"/>
  <c r="AH47" i="9"/>
  <c r="J49" i="11"/>
  <c r="N49" i="17"/>
  <c r="C29" i="11"/>
  <c r="C30" i="11" s="1"/>
  <c r="R45" i="17"/>
  <c r="J50" i="5"/>
  <c r="J50" i="17"/>
  <c r="X30" i="13"/>
  <c r="X31" i="13"/>
  <c r="X32" i="13" s="1"/>
  <c r="X33" i="13" s="1"/>
  <c r="X34" i="13" s="1"/>
  <c r="X35" i="13" s="1"/>
  <c r="X36" i="13" s="1"/>
  <c r="X37" i="13" s="1"/>
  <c r="X38" i="13" s="1"/>
  <c r="X39" i="13" s="1"/>
  <c r="X40" i="13" s="1"/>
  <c r="X41" i="13" s="1"/>
  <c r="X42" i="13" s="1"/>
  <c r="X43" i="13" s="1"/>
  <c r="X44" i="13" s="1"/>
  <c r="X45" i="13" s="1"/>
  <c r="X46" i="13" s="1"/>
  <c r="X47" i="13" s="1"/>
  <c r="X48" i="13" s="1"/>
  <c r="X49" i="13" s="1"/>
  <c r="X50" i="13" s="1"/>
  <c r="X51" i="13" s="1"/>
  <c r="X52" i="13" s="1"/>
  <c r="X53" i="13" s="1"/>
  <c r="X54" i="13" s="1"/>
  <c r="X55" i="13" s="1"/>
  <c r="X56" i="13" s="1"/>
  <c r="X57" i="13" s="1"/>
  <c r="J52" i="5"/>
  <c r="J52" i="17" s="1"/>
  <c r="AH48" i="9"/>
  <c r="F48" i="15"/>
  <c r="R48" i="17" s="1"/>
  <c r="J52" i="11"/>
  <c r="N52" i="17"/>
  <c r="J53" i="19"/>
  <c r="H47" i="16"/>
  <c r="T47" i="17" s="1"/>
  <c r="J53" i="11"/>
  <c r="N53" i="17"/>
  <c r="AI54" i="1"/>
  <c r="D54" i="17" s="1"/>
  <c r="D46" i="12"/>
  <c r="F46" i="12" s="1"/>
  <c r="D47" i="8"/>
  <c r="J56" i="5"/>
  <c r="J56" i="17"/>
  <c r="B56" i="9"/>
  <c r="AC56" i="9" s="1"/>
  <c r="B56" i="13"/>
  <c r="R56" i="13"/>
  <c r="T56" i="9"/>
  <c r="F56" i="8"/>
  <c r="F57" i="15"/>
  <c r="R57" i="17" s="1"/>
  <c r="K57" i="9"/>
  <c r="E57" i="11"/>
  <c r="E58" i="11" s="1"/>
  <c r="E59" i="11" s="1"/>
  <c r="E60" i="11" s="1"/>
  <c r="E61" i="11" s="1"/>
  <c r="E62" i="11" s="1"/>
  <c r="E63" i="11" s="1"/>
  <c r="D36" i="8"/>
  <c r="AC36" i="9"/>
  <c r="H36" i="8" s="1"/>
  <c r="L36" i="17" s="1"/>
  <c r="AC34" i="9"/>
  <c r="H34" i="8"/>
  <c r="L34" i="17"/>
  <c r="H27" i="8"/>
  <c r="L27" i="17" s="1"/>
  <c r="D35" i="8"/>
  <c r="AE26" i="1"/>
  <c r="J26" i="4" s="1"/>
  <c r="I36" i="5"/>
  <c r="I37" i="5"/>
  <c r="I38" i="5"/>
  <c r="I39" i="5"/>
  <c r="I40" i="5" s="1"/>
  <c r="I41" i="5" s="1"/>
  <c r="I42" i="5" s="1"/>
  <c r="I43" i="5"/>
  <c r="I44" i="5" s="1"/>
  <c r="I45" i="5" s="1"/>
  <c r="I46" i="5" s="1"/>
  <c r="I47" i="5" s="1"/>
  <c r="I48" i="5" s="1"/>
  <c r="I49" i="5" s="1"/>
  <c r="I50" i="5" s="1"/>
  <c r="I51" i="5" s="1"/>
  <c r="I52" i="5" s="1"/>
  <c r="I53" i="5" s="1"/>
  <c r="I54" i="5" s="1"/>
  <c r="I55" i="5" s="1"/>
  <c r="I56" i="5" s="1"/>
  <c r="I57" i="5" s="1"/>
  <c r="I58" i="5" s="1"/>
  <c r="I59" i="5" s="1"/>
  <c r="I60" i="5" s="1"/>
  <c r="I61" i="5" s="1"/>
  <c r="I62" i="5" s="1"/>
  <c r="I63" i="5" s="1"/>
  <c r="J47" i="5"/>
  <c r="J47" i="17" s="1"/>
  <c r="J44" i="5"/>
  <c r="J44" i="17"/>
  <c r="K44" i="9"/>
  <c r="D44" i="8" s="1"/>
  <c r="R42" i="13"/>
  <c r="R34" i="13"/>
  <c r="B47" i="9"/>
  <c r="B47" i="8" s="1"/>
  <c r="J50" i="11"/>
  <c r="N50" i="17"/>
  <c r="W34" i="13"/>
  <c r="W35" i="13" s="1"/>
  <c r="W36" i="13" s="1"/>
  <c r="W37" i="13" s="1"/>
  <c r="W38" i="13" s="1"/>
  <c r="W39" i="13" s="1"/>
  <c r="W40" i="13" s="1"/>
  <c r="W41" i="13" s="1"/>
  <c r="W42" i="13" s="1"/>
  <c r="W43" i="13" s="1"/>
  <c r="W44" i="13" s="1"/>
  <c r="W45" i="13" s="1"/>
  <c r="W46" i="13" s="1"/>
  <c r="W47" i="13" s="1"/>
  <c r="W48" i="13" s="1"/>
  <c r="W49" i="13" s="1"/>
  <c r="W50" i="13" s="1"/>
  <c r="W51" i="13" s="1"/>
  <c r="W52" i="13" s="1"/>
  <c r="W53" i="13" s="1"/>
  <c r="W54" i="13" s="1"/>
  <c r="B51" i="1"/>
  <c r="B51" i="4" s="1"/>
  <c r="AH53" i="9"/>
  <c r="K53" i="9"/>
  <c r="D53" i="8" s="1"/>
  <c r="T48" i="13"/>
  <c r="B46" i="13"/>
  <c r="B46" i="12" s="1"/>
  <c r="H45" i="16"/>
  <c r="T45" i="17" s="1"/>
  <c r="AH50" i="9"/>
  <c r="U56" i="13"/>
  <c r="B45" i="13"/>
  <c r="H54" i="16"/>
  <c r="T54" i="17" s="1"/>
  <c r="F35" i="12"/>
  <c r="P35" i="17" s="1"/>
  <c r="F37" i="12"/>
  <c r="P37" i="17"/>
  <c r="P42" i="17"/>
  <c r="P32" i="17"/>
  <c r="F34" i="12"/>
  <c r="P34" i="17" s="1"/>
  <c r="P38" i="17"/>
  <c r="P57" i="13"/>
  <c r="P58" i="13" s="1"/>
  <c r="P59" i="13" s="1"/>
  <c r="P60" i="13" s="1"/>
  <c r="B57" i="13"/>
  <c r="B57" i="12" s="1"/>
  <c r="F57" i="12" s="1"/>
  <c r="P57" i="17" s="1"/>
  <c r="J57" i="5"/>
  <c r="J57" i="17" s="1"/>
  <c r="B57" i="1"/>
  <c r="R57" i="13"/>
  <c r="B57" i="4"/>
  <c r="B56" i="12"/>
  <c r="F56" i="12"/>
  <c r="P56" i="17"/>
  <c r="D41" i="8"/>
  <c r="D27" i="8"/>
  <c r="L27" i="9"/>
  <c r="AE28" i="1"/>
  <c r="J28" i="4" s="1"/>
  <c r="K4" i="19"/>
  <c r="K5" i="19" s="1"/>
  <c r="K6" i="19" s="1"/>
  <c r="K7" i="19" s="1"/>
  <c r="K8" i="19"/>
  <c r="K9" i="19"/>
  <c r="K10" i="19" s="1"/>
  <c r="K11" i="19" s="1"/>
  <c r="K12" i="19" s="1"/>
  <c r="K13" i="19" s="1"/>
  <c r="K14" i="19" s="1"/>
  <c r="K15" i="19" s="1"/>
  <c r="K16" i="19" s="1"/>
  <c r="K17" i="19" s="1"/>
  <c r="K18" i="19" s="1"/>
  <c r="K19" i="19" s="1"/>
  <c r="K20" i="19" s="1"/>
  <c r="K21" i="19" s="1"/>
  <c r="K22" i="19" s="1"/>
  <c r="K23" i="19" s="1"/>
  <c r="K24" i="19" s="1"/>
  <c r="K25" i="19" s="1"/>
  <c r="K26" i="19" s="1"/>
  <c r="K27" i="19" s="1"/>
  <c r="K28" i="19" s="1"/>
  <c r="K29" i="19" s="1"/>
  <c r="K30" i="19" s="1"/>
  <c r="K31" i="19" s="1"/>
  <c r="K32" i="19" s="1"/>
  <c r="K33" i="19" s="1"/>
  <c r="K34" i="19" s="1"/>
  <c r="K35" i="19" s="1"/>
  <c r="K36" i="19" s="1"/>
  <c r="K37" i="19" s="1"/>
  <c r="K38" i="19" s="1"/>
  <c r="K39" i="19" s="1"/>
  <c r="K40" i="19" s="1"/>
  <c r="K41" i="19" s="1"/>
  <c r="K42" i="19" s="1"/>
  <c r="K43" i="19" s="1"/>
  <c r="K44" i="19" s="1"/>
  <c r="K45" i="19" s="1"/>
  <c r="G44" i="5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AE24" i="1"/>
  <c r="F24" i="17" s="1"/>
  <c r="R38" i="13"/>
  <c r="B47" i="13"/>
  <c r="B47" i="12" s="1"/>
  <c r="F47" i="12" s="1"/>
  <c r="P47" i="17" s="1"/>
  <c r="H53" i="16"/>
  <c r="T53" i="17" s="1"/>
  <c r="F56" i="15"/>
  <c r="R56" i="17"/>
  <c r="J51" i="13"/>
  <c r="T51" i="13"/>
  <c r="T43" i="13"/>
  <c r="H51" i="16"/>
  <c r="T51" i="17" s="1"/>
  <c r="H56" i="16"/>
  <c r="T56" i="17"/>
  <c r="AI49" i="1"/>
  <c r="L28" i="9"/>
  <c r="L29" i="9"/>
  <c r="L30" i="9" s="1"/>
  <c r="E29" i="8"/>
  <c r="E27" i="8"/>
  <c r="D49" i="17"/>
  <c r="C59" i="16"/>
  <c r="F58" i="15"/>
  <c r="R58" i="17" s="1"/>
  <c r="J58" i="19"/>
  <c r="T58" i="17"/>
  <c r="H59" i="13"/>
  <c r="H60" i="13" s="1"/>
  <c r="B58" i="13"/>
  <c r="B58" i="12" s="1"/>
  <c r="G58" i="13"/>
  <c r="G59" i="13" s="1"/>
  <c r="G60" i="13" s="1"/>
  <c r="G61" i="13" s="1"/>
  <c r="T58" i="13"/>
  <c r="J58" i="11"/>
  <c r="N58" i="17"/>
  <c r="E58" i="5"/>
  <c r="E59" i="5" s="1"/>
  <c r="E60" i="5" s="1"/>
  <c r="E61" i="5" s="1"/>
  <c r="E62" i="5" s="1"/>
  <c r="E63" i="5" s="1"/>
  <c r="I58" i="1"/>
  <c r="D58" i="4" s="1"/>
  <c r="V58" i="13"/>
  <c r="H59" i="16"/>
  <c r="T59" i="17" s="1"/>
  <c r="F59" i="15"/>
  <c r="AE59" i="9"/>
  <c r="K59" i="9"/>
  <c r="R59" i="17"/>
  <c r="P59" i="1"/>
  <c r="F59" i="4" s="1"/>
  <c r="D57" i="8"/>
  <c r="C33" i="13"/>
  <c r="C34" i="13" s="1"/>
  <c r="C32" i="12"/>
  <c r="F52" i="12"/>
  <c r="P52" i="17" s="1"/>
  <c r="R52" i="13"/>
  <c r="R47" i="13"/>
  <c r="P46" i="17"/>
  <c r="R50" i="13"/>
  <c r="U30" i="17"/>
  <c r="AD23" i="9"/>
  <c r="I23" i="8"/>
  <c r="M23" i="17" s="1"/>
  <c r="C24" i="9"/>
  <c r="F54" i="12"/>
  <c r="P54" i="17" s="1"/>
  <c r="J45" i="5"/>
  <c r="J45" i="17"/>
  <c r="J46" i="5"/>
  <c r="J46" i="17"/>
  <c r="AE17" i="1"/>
  <c r="J17" i="4" s="1"/>
  <c r="J48" i="5"/>
  <c r="J48" i="17" s="1"/>
  <c r="J44" i="11"/>
  <c r="N44" i="17" s="1"/>
  <c r="J59" i="13"/>
  <c r="D59" i="12" s="1"/>
  <c r="T59" i="13"/>
  <c r="H46" i="16"/>
  <c r="T46" i="17"/>
  <c r="F49" i="15"/>
  <c r="R49" i="17" s="1"/>
  <c r="AH54" i="9"/>
  <c r="V59" i="13"/>
  <c r="B59" i="13"/>
  <c r="F52" i="15"/>
  <c r="R52" i="17" s="1"/>
  <c r="B52" i="1"/>
  <c r="B52" i="4" s="1"/>
  <c r="B58" i="9"/>
  <c r="B58" i="8"/>
  <c r="C31" i="11"/>
  <c r="B59" i="12"/>
  <c r="R59" i="13"/>
  <c r="C32" i="11"/>
  <c r="C33" i="11" s="1"/>
  <c r="C34" i="11" s="1"/>
  <c r="AE47" i="9"/>
  <c r="T47" i="9"/>
  <c r="AG46" i="9"/>
  <c r="K46" i="9"/>
  <c r="B45" i="9"/>
  <c r="AG45" i="9"/>
  <c r="I45" i="9"/>
  <c r="I46" i="9" s="1"/>
  <c r="I47" i="9" s="1"/>
  <c r="I48" i="9" s="1"/>
  <c r="I49" i="9" s="1"/>
  <c r="I50" i="9" s="1"/>
  <c r="I51" i="9" s="1"/>
  <c r="I52" i="9" s="1"/>
  <c r="I53" i="9" s="1"/>
  <c r="I54" i="9" s="1"/>
  <c r="I55" i="9" s="1"/>
  <c r="I56" i="9" s="1"/>
  <c r="I57" i="9" s="1"/>
  <c r="I58" i="9" s="1"/>
  <c r="I59" i="9" s="1"/>
  <c r="I60" i="9" s="1"/>
  <c r="B29" i="8"/>
  <c r="AH55" i="9"/>
  <c r="B44" i="8"/>
  <c r="AC44" i="9"/>
  <c r="H44" i="8" s="1"/>
  <c r="L44" i="17" s="1"/>
  <c r="D40" i="8"/>
  <c r="AC40" i="9"/>
  <c r="H40" i="8" s="1"/>
  <c r="L40" i="17"/>
  <c r="AA50" i="9"/>
  <c r="AA51" i="9" s="1"/>
  <c r="AA52" i="9" s="1"/>
  <c r="AA53" i="9" s="1"/>
  <c r="AA54" i="9" s="1"/>
  <c r="AA55" i="9" s="1"/>
  <c r="AA56" i="9" s="1"/>
  <c r="AA57" i="9" s="1"/>
  <c r="AA58" i="9" s="1"/>
  <c r="AA59" i="9" s="1"/>
  <c r="AA60" i="9" s="1"/>
  <c r="AA61" i="9" s="1"/>
  <c r="AA62" i="9" s="1"/>
  <c r="AA63" i="9" s="1"/>
  <c r="AH43" i="9"/>
  <c r="B43" i="9"/>
  <c r="AK39" i="9"/>
  <c r="AK40" i="9" s="1"/>
  <c r="AK41" i="9" s="1"/>
  <c r="AK42" i="9" s="1"/>
  <c r="AK43" i="9" s="1"/>
  <c r="AK44" i="9" s="1"/>
  <c r="AK45" i="9" s="1"/>
  <c r="AK46" i="9" s="1"/>
  <c r="AK47" i="9" s="1"/>
  <c r="AK48" i="9" s="1"/>
  <c r="AK49" i="9" s="1"/>
  <c r="AK50" i="9" s="1"/>
  <c r="AK51" i="9" s="1"/>
  <c r="AK52" i="9" s="1"/>
  <c r="AK53" i="9" s="1"/>
  <c r="AK54" i="9" s="1"/>
  <c r="AK55" i="9" s="1"/>
  <c r="AH51" i="9"/>
  <c r="F25" i="8"/>
  <c r="U25" i="9"/>
  <c r="B41" i="8"/>
  <c r="AC41" i="9"/>
  <c r="H41" i="8" s="1"/>
  <c r="L41" i="17" s="1"/>
  <c r="B33" i="8"/>
  <c r="AC33" i="9"/>
  <c r="H33" i="8" s="1"/>
  <c r="L33" i="17" s="1"/>
  <c r="T48" i="9"/>
  <c r="AC48" i="9" s="1"/>
  <c r="H48" i="8" s="1"/>
  <c r="AE48" i="9"/>
  <c r="AG54" i="9"/>
  <c r="B54" i="9"/>
  <c r="AE54" i="9"/>
  <c r="T54" i="9"/>
  <c r="AC54" i="9" s="1"/>
  <c r="H54" i="8" s="1"/>
  <c r="L54" i="17" s="1"/>
  <c r="F52" i="8"/>
  <c r="F38" i="8"/>
  <c r="AC38" i="9"/>
  <c r="H38" i="8"/>
  <c r="L38" i="17"/>
  <c r="AJ36" i="9"/>
  <c r="AJ37" i="9" s="1"/>
  <c r="AJ38" i="9" s="1"/>
  <c r="AJ39" i="9" s="1"/>
  <c r="AJ40" i="9" s="1"/>
  <c r="AJ41" i="9" s="1"/>
  <c r="AJ42" i="9" s="1"/>
  <c r="AJ43" i="9" s="1"/>
  <c r="AJ44" i="9" s="1"/>
  <c r="AJ45" i="9" s="1"/>
  <c r="AJ46" i="9" s="1"/>
  <c r="AJ47" i="9" s="1"/>
  <c r="AJ48" i="9" s="1"/>
  <c r="AJ49" i="9" s="1"/>
  <c r="AJ50" i="9" s="1"/>
  <c r="AJ51" i="9" s="1"/>
  <c r="AJ52" i="9" s="1"/>
  <c r="AJ53" i="9" s="1"/>
  <c r="AJ54" i="9" s="1"/>
  <c r="AJ55" i="9" s="1"/>
  <c r="AJ56" i="9" s="1"/>
  <c r="AJ57" i="9" s="1"/>
  <c r="AJ58" i="9" s="1"/>
  <c r="AJ59" i="9" s="1"/>
  <c r="AG53" i="9"/>
  <c r="B53" i="9"/>
  <c r="AG57" i="9"/>
  <c r="B56" i="8"/>
  <c r="AE45" i="9"/>
  <c r="T45" i="9"/>
  <c r="F45" i="8"/>
  <c r="AI24" i="9"/>
  <c r="AI25" i="9" s="1"/>
  <c r="AI26" i="9" s="1"/>
  <c r="AI27" i="9" s="1"/>
  <c r="AI28" i="9" s="1"/>
  <c r="AI29" i="9" s="1"/>
  <c r="AI30" i="9" s="1"/>
  <c r="AI31" i="9" s="1"/>
  <c r="AI32" i="9" s="1"/>
  <c r="AI33" i="9" s="1"/>
  <c r="AI34" i="9" s="1"/>
  <c r="AI35" i="9" s="1"/>
  <c r="AI36" i="9" s="1"/>
  <c r="AI37" i="9" s="1"/>
  <c r="AI38" i="9" s="1"/>
  <c r="AI39" i="9" s="1"/>
  <c r="AI40" i="9" s="1"/>
  <c r="AI41" i="9" s="1"/>
  <c r="AI42" i="9" s="1"/>
  <c r="AI43" i="9" s="1"/>
  <c r="AI44" i="9" s="1"/>
  <c r="AI45" i="9" s="1"/>
  <c r="AI46" i="9" s="1"/>
  <c r="AI47" i="9" s="1"/>
  <c r="AI48" i="9" s="1"/>
  <c r="AI49" i="9" s="1"/>
  <c r="AI50" i="9" s="1"/>
  <c r="AI51" i="9" s="1"/>
  <c r="AI52" i="9" s="1"/>
  <c r="D50" i="8"/>
  <c r="AG49" i="9"/>
  <c r="B49" i="9"/>
  <c r="AC49" i="9" s="1"/>
  <c r="H49" i="8" s="1"/>
  <c r="L49" i="17" s="1"/>
  <c r="AE57" i="9"/>
  <c r="B57" i="9"/>
  <c r="AC35" i="9"/>
  <c r="H35" i="8" s="1"/>
  <c r="L35" i="17" s="1"/>
  <c r="AC26" i="9"/>
  <c r="H26" i="8" s="1"/>
  <c r="L26" i="17" s="1"/>
  <c r="F26" i="8"/>
  <c r="AG50" i="9"/>
  <c r="AH52" i="9"/>
  <c r="K58" i="9"/>
  <c r="T59" i="9"/>
  <c r="F59" i="8" s="1"/>
  <c r="AC31" i="9"/>
  <c r="H31" i="8" s="1"/>
  <c r="L31" i="17"/>
  <c r="B53" i="8"/>
  <c r="F48" i="8"/>
  <c r="L48" i="17"/>
  <c r="B54" i="8"/>
  <c r="G25" i="8"/>
  <c r="B43" i="8"/>
  <c r="B45" i="8"/>
  <c r="AC45" i="9"/>
  <c r="H45" i="8" s="1"/>
  <c r="L45" i="17" s="1"/>
  <c r="B49" i="8"/>
  <c r="D58" i="8"/>
  <c r="L58" i="17"/>
  <c r="F47" i="8"/>
  <c r="AC47" i="9"/>
  <c r="H47" i="8" s="1"/>
  <c r="L47" i="17"/>
  <c r="U59" i="13"/>
  <c r="B59" i="8"/>
  <c r="J59" i="19"/>
  <c r="U26" i="9"/>
  <c r="G26" i="8" s="1"/>
  <c r="B57" i="8"/>
  <c r="H56" i="8"/>
  <c r="L56" i="17"/>
  <c r="C33" i="12"/>
  <c r="F43" i="12"/>
  <c r="P43" i="17" s="1"/>
  <c r="B49" i="12"/>
  <c r="F49" i="12"/>
  <c r="P49" i="17" s="1"/>
  <c r="R49" i="13"/>
  <c r="AC43" i="9"/>
  <c r="H43" i="8" s="1"/>
  <c r="L43" i="17" s="1"/>
  <c r="B42" i="8"/>
  <c r="L42" i="17"/>
  <c r="J24" i="4"/>
  <c r="R51" i="13"/>
  <c r="D51" i="12"/>
  <c r="F51" i="12" s="1"/>
  <c r="P51" i="17" s="1"/>
  <c r="I33" i="16"/>
  <c r="U33" i="17" s="1"/>
  <c r="S30" i="13"/>
  <c r="K31" i="13"/>
  <c r="E30" i="12"/>
  <c r="G30" i="12"/>
  <c r="Q30" i="17" s="1"/>
  <c r="E28" i="8"/>
  <c r="J12" i="4"/>
  <c r="F12" i="17"/>
  <c r="D14" i="17"/>
  <c r="J44" i="19"/>
  <c r="H50" i="16"/>
  <c r="T50" i="17" s="1"/>
  <c r="T50" i="9"/>
  <c r="F50" i="8" s="1"/>
  <c r="T51" i="9"/>
  <c r="F51" i="15"/>
  <c r="R51" i="17"/>
  <c r="AC52" i="9"/>
  <c r="H52" i="8" s="1"/>
  <c r="L52" i="17" s="1"/>
  <c r="F55" i="15"/>
  <c r="R55" i="17" s="1"/>
  <c r="J57" i="19"/>
  <c r="Q59" i="13"/>
  <c r="AG59" i="9"/>
  <c r="G30" i="15"/>
  <c r="S30" i="17" s="1"/>
  <c r="B52" i="8"/>
  <c r="T57" i="9"/>
  <c r="F57" i="8"/>
  <c r="S31" i="13"/>
  <c r="E31" i="12"/>
  <c r="G31" i="12"/>
  <c r="Q31" i="17"/>
  <c r="K32" i="13"/>
  <c r="C34" i="12"/>
  <c r="F51" i="8"/>
  <c r="U27" i="9"/>
  <c r="AC50" i="9"/>
  <c r="H50" i="8"/>
  <c r="L50" i="17" s="1"/>
  <c r="I34" i="16"/>
  <c r="K33" i="13"/>
  <c r="E32" i="12"/>
  <c r="G32" i="12" s="1"/>
  <c r="Q32" i="17" s="1"/>
  <c r="S32" i="13"/>
  <c r="K34" i="13"/>
  <c r="E34" i="12" s="1"/>
  <c r="K35" i="13"/>
  <c r="E35" i="12" s="1"/>
  <c r="K36" i="13"/>
  <c r="T60" i="9"/>
  <c r="F60" i="8" s="1"/>
  <c r="AG60" i="9"/>
  <c r="AJ60" i="9" s="1"/>
  <c r="V60" i="13"/>
  <c r="J60" i="11"/>
  <c r="N60" i="17"/>
  <c r="X60" i="1"/>
  <c r="H60" i="4" s="1"/>
  <c r="AE60" i="9"/>
  <c r="Q60" i="13"/>
  <c r="F60" i="15"/>
  <c r="J60" i="13"/>
  <c r="R60" i="13" s="1"/>
  <c r="Z60" i="9"/>
  <c r="Z61" i="9" s="1"/>
  <c r="J60" i="5"/>
  <c r="J60" i="17" s="1"/>
  <c r="AG60" i="1"/>
  <c r="R60" i="17"/>
  <c r="H60" i="16"/>
  <c r="T60" i="17" s="1"/>
  <c r="C60" i="16"/>
  <c r="C61" i="16" s="1"/>
  <c r="C62" i="16" s="1"/>
  <c r="C63" i="16" s="1"/>
  <c r="B60" i="9"/>
  <c r="B60" i="8" s="1"/>
  <c r="J60" i="9"/>
  <c r="J61" i="9" s="1"/>
  <c r="J62" i="9" s="1"/>
  <c r="J63" i="9" s="1"/>
  <c r="B20" i="17"/>
  <c r="D60" i="12"/>
  <c r="U60" i="13"/>
  <c r="O60" i="13"/>
  <c r="O61" i="13" s="1"/>
  <c r="O62" i="13" s="1"/>
  <c r="O63" i="13" s="1"/>
  <c r="B60" i="13"/>
  <c r="B60" i="12" s="1"/>
  <c r="F60" i="12"/>
  <c r="P60" i="17" s="1"/>
  <c r="AC60" i="9"/>
  <c r="H60" i="8" s="1"/>
  <c r="L60" i="17"/>
  <c r="F61" i="15"/>
  <c r="R61" i="17" s="1"/>
  <c r="J61" i="11"/>
  <c r="N61" i="17"/>
  <c r="V61" i="13"/>
  <c r="H61" i="13"/>
  <c r="H62" i="13" s="1"/>
  <c r="H63" i="13" s="1"/>
  <c r="B61" i="13"/>
  <c r="J61" i="13"/>
  <c r="AE61" i="9"/>
  <c r="T61" i="9"/>
  <c r="F61" i="8" s="1"/>
  <c r="I61" i="9"/>
  <c r="I62" i="9" s="1"/>
  <c r="I63" i="9" s="1"/>
  <c r="AH61" i="1"/>
  <c r="H61" i="16"/>
  <c r="T61" i="17"/>
  <c r="B61" i="9"/>
  <c r="B61" i="8" s="1"/>
  <c r="P61" i="13"/>
  <c r="P62" i="13" s="1"/>
  <c r="P63" i="13" s="1"/>
  <c r="F62" i="15"/>
  <c r="R62" i="17"/>
  <c r="V62" i="13"/>
  <c r="G62" i="13"/>
  <c r="G63" i="13" s="1"/>
  <c r="K62" i="9"/>
  <c r="D62" i="8" s="1"/>
  <c r="Z62" i="9"/>
  <c r="Z63" i="9" s="1"/>
  <c r="J62" i="5"/>
  <c r="B62" i="9"/>
  <c r="B62" i="8" s="1"/>
  <c r="AF62" i="9"/>
  <c r="P62" i="1"/>
  <c r="F62" i="4" s="1"/>
  <c r="D61" i="12"/>
  <c r="B62" i="12"/>
  <c r="J62" i="17"/>
  <c r="B63" i="8"/>
  <c r="I46" i="18"/>
  <c r="I47" i="18" s="1"/>
  <c r="I48" i="18" s="1"/>
  <c r="I49" i="18" s="1"/>
  <c r="I50" i="18" s="1"/>
  <c r="I51" i="18" s="1"/>
  <c r="I52" i="18" s="1"/>
  <c r="I53" i="18" s="1"/>
  <c r="I54" i="18" s="1"/>
  <c r="I55" i="18" s="1"/>
  <c r="I56" i="18" s="1"/>
  <c r="I57" i="18" s="1"/>
  <c r="I58" i="18" s="1"/>
  <c r="I59" i="18" s="1"/>
  <c r="I60" i="18" s="1"/>
  <c r="I61" i="18" s="1"/>
  <c r="I62" i="18" s="1"/>
  <c r="U49" i="18"/>
  <c r="B49" i="17"/>
  <c r="U54" i="18"/>
  <c r="B54" i="17"/>
  <c r="B68" i="17"/>
  <c r="U63" i="18"/>
  <c r="N46" i="18"/>
  <c r="N47" i="18" s="1"/>
  <c r="N48" i="18" s="1"/>
  <c r="N49" i="18" s="1"/>
  <c r="N50" i="18" s="1"/>
  <c r="N51" i="18" s="1"/>
  <c r="N52" i="18" s="1"/>
  <c r="N53" i="18" s="1"/>
  <c r="N54" i="18" s="1"/>
  <c r="N55" i="18" s="1"/>
  <c r="N56" i="18" s="1"/>
  <c r="N57" i="18" s="1"/>
  <c r="N58" i="18" s="1"/>
  <c r="N59" i="18" s="1"/>
  <c r="N60" i="18" s="1"/>
  <c r="N61" i="18" s="1"/>
  <c r="N62" i="18" s="1"/>
  <c r="U51" i="18"/>
  <c r="B51" i="17"/>
  <c r="R44" i="18"/>
  <c r="R45" i="18"/>
  <c r="R46" i="18" s="1"/>
  <c r="R47" i="18" s="1"/>
  <c r="R48" i="18" s="1"/>
  <c r="R49" i="18" s="1"/>
  <c r="R50" i="18" s="1"/>
  <c r="R51" i="18" s="1"/>
  <c r="R52" i="18" s="1"/>
  <c r="R53" i="18" s="1"/>
  <c r="R54" i="18" s="1"/>
  <c r="R55" i="18" s="1"/>
  <c r="R56" i="18" s="1"/>
  <c r="R57" i="18" s="1"/>
  <c r="R58" i="18" s="1"/>
  <c r="R59" i="18" s="1"/>
  <c r="R60" i="18" s="1"/>
  <c r="R61" i="18" s="1"/>
  <c r="R62" i="18" s="1"/>
  <c r="E57" i="18"/>
  <c r="E58" i="18" s="1"/>
  <c r="E59" i="18" s="1"/>
  <c r="E60" i="18" s="1"/>
  <c r="E61" i="18" s="1"/>
  <c r="E62" i="18" s="1"/>
  <c r="U57" i="18"/>
  <c r="U62" i="18"/>
  <c r="B62" i="17"/>
  <c r="U52" i="18"/>
  <c r="B52" i="17"/>
  <c r="U53" i="18"/>
  <c r="B53" i="17"/>
  <c r="U48" i="18"/>
  <c r="B48" i="17"/>
  <c r="S58" i="18"/>
  <c r="V68" i="18"/>
  <c r="C68" i="17" s="1"/>
  <c r="B66" i="17"/>
  <c r="U60" i="18"/>
  <c r="V69" i="18"/>
  <c r="C69" i="17" s="1"/>
  <c r="U46" i="18"/>
  <c r="B46" i="17"/>
  <c r="U45" i="18"/>
  <c r="B45" i="17"/>
  <c r="U44" i="18"/>
  <c r="B44" i="17"/>
  <c r="B67" i="17"/>
  <c r="U50" i="18"/>
  <c r="B50" i="17" s="1"/>
  <c r="S57" i="18"/>
  <c r="S59" i="18"/>
  <c r="B59" i="17" s="1"/>
  <c r="S61" i="18"/>
  <c r="B61" i="17"/>
  <c r="V66" i="18"/>
  <c r="C66" i="17" s="1"/>
  <c r="V64" i="18"/>
  <c r="C64" i="17" s="1"/>
  <c r="S60" i="18"/>
  <c r="V65" i="18"/>
  <c r="C65" i="17" s="1"/>
  <c r="B65" i="17"/>
  <c r="V67" i="18"/>
  <c r="C67" i="17" s="1"/>
  <c r="V21" i="18"/>
  <c r="C20" i="17"/>
  <c r="B64" i="17"/>
  <c r="U56" i="18"/>
  <c r="B56" i="17" s="1"/>
  <c r="B57" i="17"/>
  <c r="B60" i="17"/>
  <c r="V22" i="18"/>
  <c r="V23" i="18" s="1"/>
  <c r="C21" i="17"/>
  <c r="C22" i="17"/>
  <c r="AC63" i="9" l="1"/>
  <c r="H63" i="8" s="1"/>
  <c r="L63" i="17" s="1"/>
  <c r="N45" i="7"/>
  <c r="H45" i="17" s="1"/>
  <c r="N54" i="7"/>
  <c r="H54" i="17" s="1"/>
  <c r="N47" i="7"/>
  <c r="H47" i="17" s="1"/>
  <c r="M44" i="7"/>
  <c r="M45" i="7" s="1"/>
  <c r="M46" i="7" s="1"/>
  <c r="M47" i="7" s="1"/>
  <c r="M48" i="7" s="1"/>
  <c r="M49" i="7" s="1"/>
  <c r="M50" i="7" s="1"/>
  <c r="M51" i="7" s="1"/>
  <c r="M52" i="7" s="1"/>
  <c r="M53" i="7" s="1"/>
  <c r="M54" i="7" s="1"/>
  <c r="M55" i="7" s="1"/>
  <c r="M56" i="7" s="1"/>
  <c r="M57" i="7" s="1"/>
  <c r="M58" i="7" s="1"/>
  <c r="M59" i="7" s="1"/>
  <c r="M60" i="7" s="1"/>
  <c r="M61" i="7" s="1"/>
  <c r="M62" i="7" s="1"/>
  <c r="M63" i="7" s="1"/>
  <c r="N50" i="7"/>
  <c r="H50" i="17" s="1"/>
  <c r="D45" i="7"/>
  <c r="D46" i="7" s="1"/>
  <c r="N51" i="7"/>
  <c r="H51" i="17" s="1"/>
  <c r="N57" i="7"/>
  <c r="H57" i="17" s="1"/>
  <c r="N44" i="7"/>
  <c r="H44" i="17" s="1"/>
  <c r="D47" i="7"/>
  <c r="D48" i="7" s="1"/>
  <c r="D49" i="7" s="1"/>
  <c r="D50" i="7" s="1"/>
  <c r="D51" i="7" s="1"/>
  <c r="D52" i="7" s="1"/>
  <c r="D53" i="7" s="1"/>
  <c r="D54" i="7" s="1"/>
  <c r="D55" i="7" s="1"/>
  <c r="D56" i="7" s="1"/>
  <c r="D57" i="7" s="1"/>
  <c r="D58" i="7" s="1"/>
  <c r="D59" i="7" s="1"/>
  <c r="D60" i="7" s="1"/>
  <c r="D61" i="7" s="1"/>
  <c r="D62" i="7" s="1"/>
  <c r="D63" i="7" s="1"/>
  <c r="G43" i="7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62" i="7" s="1"/>
  <c r="G63" i="7" s="1"/>
  <c r="N52" i="7"/>
  <c r="H52" i="17" s="1"/>
  <c r="N53" i="7"/>
  <c r="H53" i="17" s="1"/>
  <c r="N56" i="7"/>
  <c r="H56" i="17" s="1"/>
  <c r="N58" i="7"/>
  <c r="H58" i="17" s="1"/>
  <c r="R63" i="18"/>
  <c r="S63" i="18"/>
  <c r="V63" i="18" s="1"/>
  <c r="C63" i="17" s="1"/>
  <c r="E63" i="18"/>
  <c r="F29" i="17"/>
  <c r="J29" i="4"/>
  <c r="F36" i="17"/>
  <c r="J36" i="4"/>
  <c r="AG44" i="1"/>
  <c r="J40" i="4"/>
  <c r="B55" i="1"/>
  <c r="B55" i="4" s="1"/>
  <c r="F21" i="17"/>
  <c r="O44" i="1"/>
  <c r="O45" i="1" s="1"/>
  <c r="O46" i="1" s="1"/>
  <c r="O47" i="1" s="1"/>
  <c r="O48" i="1" s="1"/>
  <c r="O49" i="1" s="1"/>
  <c r="O50" i="1" s="1"/>
  <c r="O51" i="1" s="1"/>
  <c r="O52" i="1" s="1"/>
  <c r="Y8" i="1"/>
  <c r="AJ4" i="1"/>
  <c r="AJ5" i="1" s="1"/>
  <c r="AJ6" i="1" s="1"/>
  <c r="AJ7" i="1" s="1"/>
  <c r="AJ8" i="1" s="1"/>
  <c r="AJ9" i="1" s="1"/>
  <c r="AJ10" i="1" s="1"/>
  <c r="AJ11" i="1" s="1"/>
  <c r="AJ12" i="1" s="1"/>
  <c r="AJ13" i="1" s="1"/>
  <c r="AJ14" i="1" s="1"/>
  <c r="AJ15" i="1" s="1"/>
  <c r="AJ16" i="1" s="1"/>
  <c r="AJ17" i="1" s="1"/>
  <c r="AJ18" i="1" s="1"/>
  <c r="AJ19" i="1" s="1"/>
  <c r="AJ20" i="1" s="1"/>
  <c r="AJ21" i="1" s="1"/>
  <c r="AJ22" i="1" s="1"/>
  <c r="AJ23" i="1" s="1"/>
  <c r="AJ24" i="1" s="1"/>
  <c r="AJ25" i="1" s="1"/>
  <c r="AJ26" i="1" s="1"/>
  <c r="AJ27" i="1" s="1"/>
  <c r="AJ28" i="1" s="1"/>
  <c r="AJ29" i="1" s="1"/>
  <c r="AJ30" i="1" s="1"/>
  <c r="AJ31" i="1" s="1"/>
  <c r="AJ32" i="1" s="1"/>
  <c r="AJ33" i="1" s="1"/>
  <c r="AJ34" i="1" s="1"/>
  <c r="AJ35" i="1" s="1"/>
  <c r="AJ36" i="1" s="1"/>
  <c r="AJ37" i="1" s="1"/>
  <c r="AJ38" i="1" s="1"/>
  <c r="AJ39" i="1" s="1"/>
  <c r="AJ40" i="1" s="1"/>
  <c r="AJ41" i="1" s="1"/>
  <c r="AJ42" i="1" s="1"/>
  <c r="AJ43" i="1" s="1"/>
  <c r="AJ44" i="1" s="1"/>
  <c r="B56" i="1"/>
  <c r="B56" i="4" s="1"/>
  <c r="AI62" i="1"/>
  <c r="D62" i="17" s="1"/>
  <c r="G54" i="1"/>
  <c r="G55" i="1" s="1"/>
  <c r="G56" i="1" s="1"/>
  <c r="G57" i="1" s="1"/>
  <c r="G58" i="1" s="1"/>
  <c r="G59" i="1" s="1"/>
  <c r="G60" i="1" s="1"/>
  <c r="G61" i="1" s="1"/>
  <c r="G62" i="1" s="1"/>
  <c r="G63" i="1" s="1"/>
  <c r="U45" i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AE41" i="1"/>
  <c r="X46" i="1"/>
  <c r="H46" i="4" s="1"/>
  <c r="AI44" i="1"/>
  <c r="AE44" i="1" s="1"/>
  <c r="AE15" i="1"/>
  <c r="F15" i="17" s="1"/>
  <c r="AE7" i="1"/>
  <c r="AG50" i="1"/>
  <c r="AE50" i="1" s="1"/>
  <c r="AI51" i="1"/>
  <c r="D51" i="17" s="1"/>
  <c r="AG52" i="1"/>
  <c r="AE52" i="1" s="1"/>
  <c r="J52" i="4" s="1"/>
  <c r="I53" i="1"/>
  <c r="D53" i="4" s="1"/>
  <c r="AG53" i="1"/>
  <c r="AG56" i="1"/>
  <c r="AG61" i="1"/>
  <c r="AE61" i="1" s="1"/>
  <c r="AH57" i="1"/>
  <c r="AG57" i="1"/>
  <c r="AC44" i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G48" i="1"/>
  <c r="AE37" i="1"/>
  <c r="J37" i="4" s="1"/>
  <c r="AE33" i="1"/>
  <c r="AE9" i="1"/>
  <c r="J9" i="4" s="1"/>
  <c r="X58" i="1"/>
  <c r="H58" i="4" s="1"/>
  <c r="AI58" i="1"/>
  <c r="D58" i="17" s="1"/>
  <c r="AG59" i="1"/>
  <c r="AH60" i="1"/>
  <c r="P60" i="1"/>
  <c r="F60" i="4" s="1"/>
  <c r="I60" i="1"/>
  <c r="D60" i="4" s="1"/>
  <c r="F4" i="17"/>
  <c r="J4" i="4"/>
  <c r="E8" i="4"/>
  <c r="J9" i="1"/>
  <c r="E9" i="4" s="1"/>
  <c r="J6" i="4"/>
  <c r="F6" i="17"/>
  <c r="J44" i="4"/>
  <c r="F44" i="17"/>
  <c r="J31" i="4"/>
  <c r="F31" i="17"/>
  <c r="J50" i="4"/>
  <c r="F50" i="17"/>
  <c r="F52" i="17"/>
  <c r="F9" i="17"/>
  <c r="I61" i="1"/>
  <c r="D61" i="4" s="1"/>
  <c r="C4" i="1"/>
  <c r="P48" i="1"/>
  <c r="F48" i="4" s="1"/>
  <c r="D7" i="17"/>
  <c r="F10" i="17"/>
  <c r="F37" i="17"/>
  <c r="J8" i="4"/>
  <c r="H51" i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O53" i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AE43" i="1"/>
  <c r="AE19" i="1"/>
  <c r="AI48" i="1"/>
  <c r="D48" i="17" s="1"/>
  <c r="AE14" i="1"/>
  <c r="P52" i="1"/>
  <c r="F52" i="4" s="1"/>
  <c r="I56" i="1"/>
  <c r="D56" i="4" s="1"/>
  <c r="P61" i="1"/>
  <c r="F61" i="4" s="1"/>
  <c r="AE23" i="1"/>
  <c r="B63" i="1"/>
  <c r="B63" i="4" s="1"/>
  <c r="AG62" i="1"/>
  <c r="AE62" i="1" s="1"/>
  <c r="F62" i="17" s="1"/>
  <c r="B60" i="1"/>
  <c r="B60" i="4" s="1"/>
  <c r="AG45" i="1"/>
  <c r="J55" i="4"/>
  <c r="AG49" i="1"/>
  <c r="AE49" i="1" s="1"/>
  <c r="AH58" i="1"/>
  <c r="AE58" i="1" s="1"/>
  <c r="B50" i="1"/>
  <c r="B50" i="4" s="1"/>
  <c r="AF3" i="1"/>
  <c r="X53" i="1"/>
  <c r="H53" i="4" s="1"/>
  <c r="D23" i="17"/>
  <c r="F13" i="17"/>
  <c r="AE39" i="1"/>
  <c r="F39" i="17" s="1"/>
  <c r="I47" i="1"/>
  <c r="D47" i="4" s="1"/>
  <c r="AE5" i="1"/>
  <c r="AI63" i="1"/>
  <c r="D63" i="17" s="1"/>
  <c r="B62" i="1"/>
  <c r="B62" i="4" s="1"/>
  <c r="F17" i="17"/>
  <c r="X59" i="1"/>
  <c r="H59" i="4" s="1"/>
  <c r="P58" i="1"/>
  <c r="F58" i="4" s="1"/>
  <c r="F26" i="17"/>
  <c r="D35" i="17"/>
  <c r="X48" i="1"/>
  <c r="H48" i="4" s="1"/>
  <c r="X47" i="1"/>
  <c r="H47" i="4" s="1"/>
  <c r="P51" i="1"/>
  <c r="F51" i="4" s="1"/>
  <c r="J62" i="4"/>
  <c r="C23" i="17"/>
  <c r="V24" i="18"/>
  <c r="AE60" i="1"/>
  <c r="R61" i="13"/>
  <c r="B61" i="12"/>
  <c r="F61" i="12" s="1"/>
  <c r="P61" i="17" s="1"/>
  <c r="E33" i="12"/>
  <c r="S33" i="13"/>
  <c r="G27" i="8"/>
  <c r="U28" i="9"/>
  <c r="K37" i="13"/>
  <c r="E36" i="12"/>
  <c r="I35" i="16"/>
  <c r="U34" i="17"/>
  <c r="AC57" i="9"/>
  <c r="H57" i="8" s="1"/>
  <c r="L57" i="17" s="1"/>
  <c r="C35" i="11"/>
  <c r="F59" i="12"/>
  <c r="P59" i="17" s="1"/>
  <c r="C4" i="4"/>
  <c r="C5" i="1"/>
  <c r="AC59" i="9"/>
  <c r="H59" i="8" s="1"/>
  <c r="L59" i="17" s="1"/>
  <c r="AE57" i="1"/>
  <c r="J46" i="19"/>
  <c r="K46" i="19" s="1"/>
  <c r="K47" i="19" s="1"/>
  <c r="K48" i="19" s="1"/>
  <c r="K49" i="19" s="1"/>
  <c r="K50" i="19" s="1"/>
  <c r="K51" i="19" s="1"/>
  <c r="K52" i="19" s="1"/>
  <c r="K53" i="19" s="1"/>
  <c r="K54" i="19" s="1"/>
  <c r="K55" i="19" s="1"/>
  <c r="K56" i="19" s="1"/>
  <c r="K57" i="19" s="1"/>
  <c r="K58" i="19" s="1"/>
  <c r="K59" i="19" s="1"/>
  <c r="Q4" i="1"/>
  <c r="F4" i="4"/>
  <c r="F7" i="17"/>
  <c r="J7" i="4"/>
  <c r="AI47" i="1"/>
  <c r="D47" i="17" s="1"/>
  <c r="P47" i="1"/>
  <c r="F47" i="4" s="1"/>
  <c r="P46" i="1"/>
  <c r="F46" i="4" s="1"/>
  <c r="AI46" i="1"/>
  <c r="AI45" i="1"/>
  <c r="P45" i="1"/>
  <c r="F45" i="4" s="1"/>
  <c r="AE42" i="1"/>
  <c r="D42" i="17"/>
  <c r="D38" i="17"/>
  <c r="AE38" i="1"/>
  <c r="D30" i="17"/>
  <c r="AE30" i="1"/>
  <c r="D22" i="17"/>
  <c r="AE22" i="1"/>
  <c r="I59" i="19"/>
  <c r="I60" i="19" s="1"/>
  <c r="I61" i="19" s="1"/>
  <c r="I62" i="19" s="1"/>
  <c r="I63" i="19" s="1"/>
  <c r="C24" i="8"/>
  <c r="C25" i="9"/>
  <c r="AD24" i="9"/>
  <c r="I24" i="8" s="1"/>
  <c r="M24" i="17" s="1"/>
  <c r="F28" i="17"/>
  <c r="L31" i="9"/>
  <c r="E30" i="8"/>
  <c r="B51" i="8"/>
  <c r="AC51" i="9"/>
  <c r="H51" i="8" s="1"/>
  <c r="L51" i="17" s="1"/>
  <c r="G31" i="15"/>
  <c r="G34" i="12"/>
  <c r="Q34" i="17" s="1"/>
  <c r="F54" i="8"/>
  <c r="S34" i="13"/>
  <c r="C35" i="13"/>
  <c r="D44" i="17"/>
  <c r="G33" i="12"/>
  <c r="Q33" i="17" s="1"/>
  <c r="D46" i="8"/>
  <c r="AC46" i="9"/>
  <c r="H46" i="8" s="1"/>
  <c r="L46" i="17" s="1"/>
  <c r="D59" i="8"/>
  <c r="R45" i="13"/>
  <c r="B45" i="12"/>
  <c r="F45" i="12" s="1"/>
  <c r="P45" i="17" s="1"/>
  <c r="B44" i="12"/>
  <c r="F44" i="12" s="1"/>
  <c r="P44" i="17" s="1"/>
  <c r="R44" i="13"/>
  <c r="U31" i="17"/>
  <c r="R53" i="13"/>
  <c r="B53" i="12"/>
  <c r="F53" i="12" s="1"/>
  <c r="P53" i="17" s="1"/>
  <c r="G25" i="11"/>
  <c r="K24" i="11"/>
  <c r="O24" i="17" s="1"/>
  <c r="D37" i="8"/>
  <c r="AC37" i="9"/>
  <c r="H37" i="8" s="1"/>
  <c r="L37" i="17" s="1"/>
  <c r="D29" i="8"/>
  <c r="AC29" i="9"/>
  <c r="H29" i="8" s="1"/>
  <c r="L29" i="17" s="1"/>
  <c r="AE55" i="9"/>
  <c r="B55" i="9"/>
  <c r="J55" i="13"/>
  <c r="T55" i="13"/>
  <c r="W55" i="13" s="1"/>
  <c r="W56" i="13" s="1"/>
  <c r="W57" i="13" s="1"/>
  <c r="W58" i="13" s="1"/>
  <c r="W59" i="13" s="1"/>
  <c r="W60" i="13" s="1"/>
  <c r="W61" i="13" s="1"/>
  <c r="W62" i="13" s="1"/>
  <c r="AH59" i="1"/>
  <c r="I59" i="1"/>
  <c r="D59" i="4" s="1"/>
  <c r="J25" i="4"/>
  <c r="F25" i="17"/>
  <c r="J14" i="7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J60" i="7" s="1"/>
  <c r="J61" i="7" s="1"/>
  <c r="J62" i="7" s="1"/>
  <c r="J63" i="7" s="1"/>
  <c r="P13" i="7"/>
  <c r="AI56" i="1"/>
  <c r="AH56" i="9"/>
  <c r="AK56" i="9" s="1"/>
  <c r="AK57" i="9" s="1"/>
  <c r="AK58" i="9" s="1"/>
  <c r="AK59" i="9" s="1"/>
  <c r="AK60" i="9" s="1"/>
  <c r="AK61" i="9" s="1"/>
  <c r="AK62" i="9" s="1"/>
  <c r="AK63" i="9" s="1"/>
  <c r="F32" i="17"/>
  <c r="F58" i="8"/>
  <c r="AE54" i="1"/>
  <c r="E56" i="16"/>
  <c r="E57" i="16" s="1"/>
  <c r="E58" i="16" s="1"/>
  <c r="E59" i="16" s="1"/>
  <c r="E60" i="16" s="1"/>
  <c r="E61" i="16" s="1"/>
  <c r="E62" i="16" s="1"/>
  <c r="E63" i="16" s="1"/>
  <c r="F39" i="12"/>
  <c r="P39" i="17" s="1"/>
  <c r="J48" i="19"/>
  <c r="I8" i="4"/>
  <c r="Y9" i="1"/>
  <c r="F41" i="17"/>
  <c r="J41" i="4"/>
  <c r="AE34" i="1"/>
  <c r="S56" i="9"/>
  <c r="S57" i="9" s="1"/>
  <c r="S58" i="9" s="1"/>
  <c r="S59" i="9" s="1"/>
  <c r="R58" i="13"/>
  <c r="R54" i="13"/>
  <c r="D48" i="12"/>
  <c r="F48" i="12" s="1"/>
  <c r="P48" i="17" s="1"/>
  <c r="R48" i="13"/>
  <c r="F20" i="17"/>
  <c r="J20" i="4"/>
  <c r="B47" i="1"/>
  <c r="B47" i="4" s="1"/>
  <c r="AG47" i="1"/>
  <c r="J27" i="4"/>
  <c r="F27" i="17"/>
  <c r="AK3" i="1"/>
  <c r="AE3" i="1"/>
  <c r="E43" i="15"/>
  <c r="E44" i="15" s="1"/>
  <c r="E45" i="15" s="1"/>
  <c r="E46" i="15" s="1"/>
  <c r="E47" i="15" s="1"/>
  <c r="E48" i="15" s="1"/>
  <c r="E49" i="15" s="1"/>
  <c r="E50" i="15" s="1"/>
  <c r="E51" i="15" s="1"/>
  <c r="E52" i="15" s="1"/>
  <c r="E53" i="15" s="1"/>
  <c r="E54" i="15" s="1"/>
  <c r="E55" i="15" s="1"/>
  <c r="E56" i="15" s="1"/>
  <c r="E57" i="15" s="1"/>
  <c r="E58" i="15" s="1"/>
  <c r="E59" i="15" s="1"/>
  <c r="E60" i="15" s="1"/>
  <c r="E61" i="15" s="1"/>
  <c r="E62" i="15" s="1"/>
  <c r="E63" i="15" s="1"/>
  <c r="AE18" i="1"/>
  <c r="D5" i="17"/>
  <c r="AE11" i="1"/>
  <c r="K61" i="9"/>
  <c r="AG61" i="9"/>
  <c r="AJ61" i="9" s="1"/>
  <c r="AJ62" i="9" s="1"/>
  <c r="AJ63" i="9" s="1"/>
  <c r="I48" i="1"/>
  <c r="D48" i="4" s="1"/>
  <c r="P44" i="1"/>
  <c r="F44" i="4" s="1"/>
  <c r="N48" i="7"/>
  <c r="H48" i="17" s="1"/>
  <c r="N46" i="7"/>
  <c r="H46" i="17" s="1"/>
  <c r="J48" i="11"/>
  <c r="N48" i="17" s="1"/>
  <c r="AE58" i="9"/>
  <c r="AH59" i="9"/>
  <c r="K35" i="5"/>
  <c r="C36" i="5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B25" i="8"/>
  <c r="AC25" i="9"/>
  <c r="H25" i="8" s="1"/>
  <c r="L25" i="17" s="1"/>
  <c r="N49" i="7"/>
  <c r="H49" i="17" s="1"/>
  <c r="N55" i="7"/>
  <c r="H55" i="17" s="1"/>
  <c r="T53" i="9"/>
  <c r="AE53" i="9"/>
  <c r="AI53" i="9" s="1"/>
  <c r="AI54" i="9" s="1"/>
  <c r="AI55" i="9" s="1"/>
  <c r="AI56" i="9" s="1"/>
  <c r="AI57" i="9" s="1"/>
  <c r="AI58" i="9" s="1"/>
  <c r="AI59" i="9" s="1"/>
  <c r="AI60" i="9" s="1"/>
  <c r="AI61" i="9" s="1"/>
  <c r="AI62" i="9" s="1"/>
  <c r="AI63" i="9" s="1"/>
  <c r="AH63" i="1"/>
  <c r="J58" i="13"/>
  <c r="D58" i="12" s="1"/>
  <c r="F58" i="12" s="1"/>
  <c r="P58" i="17" s="1"/>
  <c r="U58" i="13"/>
  <c r="X58" i="13" s="1"/>
  <c r="X59" i="13" s="1"/>
  <c r="X60" i="13" s="1"/>
  <c r="X61" i="13" s="1"/>
  <c r="X62" i="13" s="1"/>
  <c r="X63" i="13" s="1"/>
  <c r="AI59" i="1"/>
  <c r="D59" i="17" s="1"/>
  <c r="T60" i="13"/>
  <c r="G60" i="19"/>
  <c r="G61" i="19" s="1"/>
  <c r="G62" i="19" s="1"/>
  <c r="N61" i="7"/>
  <c r="H61" i="17" s="1"/>
  <c r="J61" i="5"/>
  <c r="J61" i="17" s="1"/>
  <c r="T62" i="9"/>
  <c r="F62" i="8" s="1"/>
  <c r="AH62" i="9"/>
  <c r="T63" i="13"/>
  <c r="B63" i="13"/>
  <c r="I59" i="13"/>
  <c r="V57" i="13"/>
  <c r="Y57" i="13" s="1"/>
  <c r="Y58" i="13" s="1"/>
  <c r="Y59" i="13" s="1"/>
  <c r="Y60" i="13" s="1"/>
  <c r="Y61" i="13" s="1"/>
  <c r="Y62" i="13" s="1"/>
  <c r="Y63" i="13" s="1"/>
  <c r="I58" i="13"/>
  <c r="I57" i="13"/>
  <c r="U58" i="18"/>
  <c r="B58" i="17" s="1"/>
  <c r="J63" i="19"/>
  <c r="K63" i="19" s="1"/>
  <c r="J63" i="5"/>
  <c r="J63" i="17" s="1"/>
  <c r="X51" i="1"/>
  <c r="H51" i="4" s="1"/>
  <c r="N60" i="7"/>
  <c r="H60" i="17" s="1"/>
  <c r="AH60" i="9"/>
  <c r="J60" i="19"/>
  <c r="AF61" i="9"/>
  <c r="C62" i="19"/>
  <c r="C63" i="19" s="1"/>
  <c r="J62" i="13"/>
  <c r="AI53" i="1"/>
  <c r="D53" i="17" s="1"/>
  <c r="AH57" i="9"/>
  <c r="N59" i="7"/>
  <c r="H59" i="17" s="1"/>
  <c r="E60" i="19"/>
  <c r="E61" i="19" s="1"/>
  <c r="E62" i="19" s="1"/>
  <c r="E63" i="19" s="1"/>
  <c r="H62" i="16"/>
  <c r="T62" i="17" s="1"/>
  <c r="G63" i="19"/>
  <c r="P63" i="1"/>
  <c r="F63" i="4" s="1"/>
  <c r="W63" i="13" l="1"/>
  <c r="B63" i="17"/>
  <c r="AE63" i="1"/>
  <c r="F63" i="17" s="1"/>
  <c r="J15" i="4"/>
  <c r="F33" i="17"/>
  <c r="J33" i="4"/>
  <c r="AJ45" i="1"/>
  <c r="AJ46" i="1" s="1"/>
  <c r="AE51" i="1"/>
  <c r="F58" i="17"/>
  <c r="J58" i="4"/>
  <c r="J39" i="4"/>
  <c r="J23" i="4"/>
  <c r="F23" i="17"/>
  <c r="F14" i="17"/>
  <c r="J14" i="4"/>
  <c r="F43" i="17"/>
  <c r="J43" i="4"/>
  <c r="AE48" i="1"/>
  <c r="J10" i="1"/>
  <c r="E10" i="4" s="1"/>
  <c r="J5" i="4"/>
  <c r="F5" i="17"/>
  <c r="G3" i="17"/>
  <c r="AF4" i="1"/>
  <c r="K3" i="4"/>
  <c r="J19" i="4"/>
  <c r="F19" i="17"/>
  <c r="J61" i="4"/>
  <c r="F61" i="17"/>
  <c r="F49" i="17"/>
  <c r="J49" i="4"/>
  <c r="D62" i="12"/>
  <c r="F62" i="12" s="1"/>
  <c r="P62" i="17" s="1"/>
  <c r="R62" i="13"/>
  <c r="D61" i="8"/>
  <c r="AC61" i="9"/>
  <c r="H61" i="8" s="1"/>
  <c r="L61" i="17" s="1"/>
  <c r="D55" i="12"/>
  <c r="F55" i="12" s="1"/>
  <c r="P55" i="17" s="1"/>
  <c r="R55" i="13"/>
  <c r="K25" i="11"/>
  <c r="O25" i="17" s="1"/>
  <c r="G26" i="11"/>
  <c r="J42" i="4"/>
  <c r="F42" i="17"/>
  <c r="C5" i="4"/>
  <c r="C6" i="1"/>
  <c r="C24" i="17"/>
  <c r="V25" i="18"/>
  <c r="R63" i="13"/>
  <c r="B63" i="12"/>
  <c r="F63" i="12" s="1"/>
  <c r="P63" i="17" s="1"/>
  <c r="F53" i="8"/>
  <c r="AC53" i="9"/>
  <c r="H53" i="8" s="1"/>
  <c r="L53" i="17" s="1"/>
  <c r="J11" i="4"/>
  <c r="F11" i="17"/>
  <c r="J3" i="4"/>
  <c r="F3" i="17"/>
  <c r="AE47" i="1"/>
  <c r="AJ47" i="1"/>
  <c r="AJ48" i="1" s="1"/>
  <c r="AJ49" i="1" s="1"/>
  <c r="AJ50" i="1" s="1"/>
  <c r="AJ51" i="1" s="1"/>
  <c r="AJ52" i="1" s="1"/>
  <c r="AJ53" i="1" s="1"/>
  <c r="AJ54" i="1" s="1"/>
  <c r="AJ55" i="1" s="1"/>
  <c r="AJ56" i="1" s="1"/>
  <c r="AJ57" i="1" s="1"/>
  <c r="AJ58" i="1" s="1"/>
  <c r="AJ59" i="1" s="1"/>
  <c r="AJ60" i="1" s="1"/>
  <c r="AJ61" i="1" s="1"/>
  <c r="AJ62" i="1" s="1"/>
  <c r="AJ63" i="1" s="1"/>
  <c r="Y10" i="1"/>
  <c r="I9" i="4"/>
  <c r="AC55" i="9"/>
  <c r="H55" i="8" s="1"/>
  <c r="L55" i="17" s="1"/>
  <c r="B55" i="8"/>
  <c r="C26" i="9"/>
  <c r="AD25" i="9"/>
  <c r="I25" i="8" s="1"/>
  <c r="M25" i="17" s="1"/>
  <c r="C25" i="8"/>
  <c r="J22" i="4"/>
  <c r="F22" i="17"/>
  <c r="J38" i="4"/>
  <c r="F38" i="17"/>
  <c r="C36" i="11"/>
  <c r="I36" i="16"/>
  <c r="U35" i="17"/>
  <c r="E37" i="12"/>
  <c r="K38" i="13"/>
  <c r="AK4" i="1"/>
  <c r="E3" i="17"/>
  <c r="J34" i="4"/>
  <c r="F34" i="17"/>
  <c r="J54" i="4"/>
  <c r="F54" i="17"/>
  <c r="D56" i="17"/>
  <c r="AE56" i="1"/>
  <c r="S35" i="13"/>
  <c r="C35" i="12"/>
  <c r="G35" i="12" s="1"/>
  <c r="Q35" i="17" s="1"/>
  <c r="C36" i="13"/>
  <c r="S31" i="17"/>
  <c r="G32" i="15"/>
  <c r="D45" i="17"/>
  <c r="AE45" i="1"/>
  <c r="Q5" i="1"/>
  <c r="G4" i="4"/>
  <c r="F57" i="17"/>
  <c r="J57" i="4"/>
  <c r="K60" i="19"/>
  <c r="K61" i="19" s="1"/>
  <c r="K62" i="19" s="1"/>
  <c r="K35" i="17"/>
  <c r="K36" i="5"/>
  <c r="J18" i="4"/>
  <c r="F18" i="17"/>
  <c r="I13" i="17"/>
  <c r="P14" i="7"/>
  <c r="AE53" i="1"/>
  <c r="E31" i="8"/>
  <c r="L32" i="9"/>
  <c r="AE59" i="1"/>
  <c r="F30" i="17"/>
  <c r="J30" i="4"/>
  <c r="AE46" i="1"/>
  <c r="D46" i="17"/>
  <c r="U29" i="9"/>
  <c r="G28" i="8"/>
  <c r="AC62" i="9"/>
  <c r="H62" i="8" s="1"/>
  <c r="L62" i="17" s="1"/>
  <c r="F60" i="17"/>
  <c r="J60" i="4"/>
  <c r="J63" i="4" l="1"/>
  <c r="J11" i="1"/>
  <c r="F51" i="17"/>
  <c r="J51" i="4"/>
  <c r="G4" i="17"/>
  <c r="K4" i="4"/>
  <c r="AF5" i="1"/>
  <c r="J48" i="4"/>
  <c r="F48" i="17"/>
  <c r="J45" i="4"/>
  <c r="F45" i="17"/>
  <c r="U36" i="17"/>
  <c r="I37" i="16"/>
  <c r="V26" i="18"/>
  <c r="C25" i="17"/>
  <c r="J12" i="1"/>
  <c r="E11" i="4"/>
  <c r="G27" i="11"/>
  <c r="K26" i="11"/>
  <c r="O26" i="17" s="1"/>
  <c r="J46" i="4"/>
  <c r="F46" i="17"/>
  <c r="L33" i="9"/>
  <c r="E32" i="8"/>
  <c r="C36" i="12"/>
  <c r="G36" i="12" s="1"/>
  <c r="Q36" i="17" s="1"/>
  <c r="C37" i="13"/>
  <c r="S36" i="13"/>
  <c r="S32" i="17"/>
  <c r="G33" i="15"/>
  <c r="AK5" i="1"/>
  <c r="E4" i="17"/>
  <c r="K39" i="13"/>
  <c r="E38" i="12"/>
  <c r="C37" i="11"/>
  <c r="C27" i="9"/>
  <c r="AD26" i="9"/>
  <c r="I26" i="8" s="1"/>
  <c r="M26" i="17" s="1"/>
  <c r="C26" i="8"/>
  <c r="I10" i="4"/>
  <c r="Y11" i="1"/>
  <c r="G29" i="8"/>
  <c r="U30" i="9"/>
  <c r="F53" i="17"/>
  <c r="J53" i="4"/>
  <c r="J59" i="4"/>
  <c r="F59" i="17"/>
  <c r="P15" i="7"/>
  <c r="I14" i="17"/>
  <c r="K36" i="17"/>
  <c r="K37" i="5"/>
  <c r="G5" i="4"/>
  <c r="Q6" i="1"/>
  <c r="F56" i="17"/>
  <c r="J56" i="4"/>
  <c r="C7" i="1"/>
  <c r="C6" i="4"/>
  <c r="F47" i="17"/>
  <c r="J47" i="4"/>
  <c r="AF6" i="1" l="1"/>
  <c r="G5" i="17"/>
  <c r="K5" i="4"/>
  <c r="C8" i="1"/>
  <c r="C7" i="4"/>
  <c r="S37" i="13"/>
  <c r="C38" i="13"/>
  <c r="C37" i="12"/>
  <c r="G37" i="12" s="1"/>
  <c r="Q37" i="17" s="1"/>
  <c r="S33" i="17"/>
  <c r="G34" i="15"/>
  <c r="J13" i="1"/>
  <c r="E12" i="4"/>
  <c r="K38" i="5"/>
  <c r="K37" i="17"/>
  <c r="U31" i="9"/>
  <c r="G30" i="8"/>
  <c r="C38" i="11"/>
  <c r="I38" i="16"/>
  <c r="U37" i="17"/>
  <c r="G6" i="4"/>
  <c r="Q7" i="1"/>
  <c r="I11" i="4"/>
  <c r="Y12" i="1"/>
  <c r="C27" i="8"/>
  <c r="C28" i="9"/>
  <c r="AD27" i="9"/>
  <c r="I27" i="8" s="1"/>
  <c r="M27" i="17" s="1"/>
  <c r="E39" i="12"/>
  <c r="K40" i="13"/>
  <c r="E5" i="17"/>
  <c r="AK6" i="1"/>
  <c r="P16" i="7"/>
  <c r="I15" i="17"/>
  <c r="L34" i="9"/>
  <c r="E33" i="8"/>
  <c r="K27" i="11"/>
  <c r="O27" i="17" s="1"/>
  <c r="G28" i="11"/>
  <c r="C26" i="17"/>
  <c r="V27" i="18"/>
  <c r="AF7" i="1" l="1"/>
  <c r="K6" i="4"/>
  <c r="G6" i="17"/>
  <c r="P17" i="7"/>
  <c r="I16" i="17"/>
  <c r="G31" i="8"/>
  <c r="U32" i="9"/>
  <c r="C28" i="8"/>
  <c r="AD28" i="9"/>
  <c r="I28" i="8" s="1"/>
  <c r="M28" i="17" s="1"/>
  <c r="C29" i="9"/>
  <c r="G7" i="4"/>
  <c r="Q8" i="1"/>
  <c r="G35" i="15"/>
  <c r="S34" i="17"/>
  <c r="E13" i="4"/>
  <c r="J14" i="1"/>
  <c r="V28" i="18"/>
  <c r="C27" i="17"/>
  <c r="L35" i="9"/>
  <c r="E34" i="8"/>
  <c r="E40" i="12"/>
  <c r="K41" i="13"/>
  <c r="C39" i="11"/>
  <c r="K38" i="17"/>
  <c r="K39" i="5"/>
  <c r="AK7" i="1"/>
  <c r="E6" i="17"/>
  <c r="U38" i="17"/>
  <c r="I39" i="16"/>
  <c r="S38" i="13"/>
  <c r="C38" i="12"/>
  <c r="G38" i="12" s="1"/>
  <c r="Q38" i="17" s="1"/>
  <c r="C39" i="13"/>
  <c r="G29" i="11"/>
  <c r="K28" i="11"/>
  <c r="O28" i="17" s="1"/>
  <c r="Y13" i="1"/>
  <c r="I12" i="4"/>
  <c r="C8" i="4"/>
  <c r="C9" i="1"/>
  <c r="G7" i="17" l="1"/>
  <c r="K7" i="4"/>
  <c r="AF8" i="1"/>
  <c r="C40" i="11"/>
  <c r="U33" i="9"/>
  <c r="G32" i="8"/>
  <c r="C10" i="1"/>
  <c r="C9" i="4"/>
  <c r="I40" i="16"/>
  <c r="U39" i="17"/>
  <c r="K40" i="5"/>
  <c r="K39" i="17"/>
  <c r="K42" i="13"/>
  <c r="E41" i="12"/>
  <c r="C30" i="9"/>
  <c r="AD29" i="9"/>
  <c r="I29" i="8" s="1"/>
  <c r="M29" i="17" s="1"/>
  <c r="C29" i="8"/>
  <c r="S35" i="17"/>
  <c r="G36" i="15"/>
  <c r="I13" i="4"/>
  <c r="Y14" i="1"/>
  <c r="AK8" i="1"/>
  <c r="E7" i="17"/>
  <c r="L36" i="9"/>
  <c r="E35" i="8"/>
  <c r="K29" i="11"/>
  <c r="O29" i="17" s="1"/>
  <c r="G30" i="11"/>
  <c r="C39" i="12"/>
  <c r="G39" i="12" s="1"/>
  <c r="Q39" i="17" s="1"/>
  <c r="C40" i="13"/>
  <c r="S39" i="13"/>
  <c r="V29" i="18"/>
  <c r="C28" i="17"/>
  <c r="E14" i="4"/>
  <c r="J15" i="1"/>
  <c r="Q9" i="1"/>
  <c r="G8" i="4"/>
  <c r="I17" i="17"/>
  <c r="P18" i="7"/>
  <c r="AF9" i="1" l="1"/>
  <c r="K8" i="4"/>
  <c r="G8" i="17"/>
  <c r="C29" i="17"/>
  <c r="V30" i="18"/>
  <c r="P19" i="7"/>
  <c r="I18" i="17"/>
  <c r="J16" i="1"/>
  <c r="E15" i="4"/>
  <c r="I14" i="4"/>
  <c r="Y15" i="1"/>
  <c r="K43" i="13"/>
  <c r="E42" i="12"/>
  <c r="I41" i="16"/>
  <c r="U40" i="17"/>
  <c r="U34" i="9"/>
  <c r="G33" i="8"/>
  <c r="G31" i="11"/>
  <c r="K30" i="11"/>
  <c r="O30" i="17" s="1"/>
  <c r="C41" i="11"/>
  <c r="G9" i="4"/>
  <c r="Q10" i="1"/>
  <c r="AK9" i="1"/>
  <c r="E8" i="17"/>
  <c r="C41" i="13"/>
  <c r="S40" i="13"/>
  <c r="C40" i="12"/>
  <c r="G40" i="12" s="1"/>
  <c r="Q40" i="17" s="1"/>
  <c r="E36" i="8"/>
  <c r="L37" i="9"/>
  <c r="S36" i="17"/>
  <c r="G37" i="15"/>
  <c r="C30" i="8"/>
  <c r="C31" i="9"/>
  <c r="AD30" i="9"/>
  <c r="I30" i="8" s="1"/>
  <c r="M30" i="17" s="1"/>
  <c r="K41" i="5"/>
  <c r="K40" i="17"/>
  <c r="C10" i="4"/>
  <c r="C11" i="1"/>
  <c r="G9" i="17" l="1"/>
  <c r="K9" i="4"/>
  <c r="AF10" i="1"/>
  <c r="E9" i="17"/>
  <c r="AK10" i="1"/>
  <c r="G10" i="4"/>
  <c r="Q11" i="1"/>
  <c r="G32" i="11"/>
  <c r="K31" i="11"/>
  <c r="O31" i="17" s="1"/>
  <c r="U41" i="17"/>
  <c r="I42" i="16"/>
  <c r="P20" i="7"/>
  <c r="I19" i="17"/>
  <c r="C32" i="9"/>
  <c r="C31" i="8"/>
  <c r="AD31" i="9"/>
  <c r="I31" i="8" s="1"/>
  <c r="M31" i="17" s="1"/>
  <c r="S41" i="13"/>
  <c r="C41" i="12"/>
  <c r="G41" i="12" s="1"/>
  <c r="Q41" i="17" s="1"/>
  <c r="C42" i="13"/>
  <c r="V31" i="18"/>
  <c r="C30" i="17"/>
  <c r="K41" i="17"/>
  <c r="K42" i="5"/>
  <c r="G38" i="15"/>
  <c r="S37" i="17"/>
  <c r="Y16" i="1"/>
  <c r="I15" i="4"/>
  <c r="C12" i="1"/>
  <c r="C11" i="4"/>
  <c r="E37" i="8"/>
  <c r="L38" i="9"/>
  <c r="C42" i="11"/>
  <c r="U35" i="9"/>
  <c r="G34" i="8"/>
  <c r="E43" i="12"/>
  <c r="K44" i="13"/>
  <c r="E16" i="4"/>
  <c r="J17" i="1"/>
  <c r="G10" i="17" l="1"/>
  <c r="AF11" i="1"/>
  <c r="K10" i="4"/>
  <c r="L39" i="9"/>
  <c r="E38" i="8"/>
  <c r="C43" i="13"/>
  <c r="C42" i="12"/>
  <c r="G42" i="12" s="1"/>
  <c r="Q42" i="17" s="1"/>
  <c r="S42" i="13"/>
  <c r="G11" i="4"/>
  <c r="Q12" i="1"/>
  <c r="J18" i="1"/>
  <c r="E17" i="4"/>
  <c r="Y17" i="1"/>
  <c r="I16" i="4"/>
  <c r="C32" i="8"/>
  <c r="C33" i="9"/>
  <c r="AD32" i="9"/>
  <c r="I32" i="8" s="1"/>
  <c r="M32" i="17" s="1"/>
  <c r="K43" i="5"/>
  <c r="K42" i="17"/>
  <c r="U42" i="17"/>
  <c r="I43" i="16"/>
  <c r="G35" i="8"/>
  <c r="U36" i="9"/>
  <c r="AK11" i="1"/>
  <c r="E10" i="17"/>
  <c r="C43" i="11"/>
  <c r="E44" i="12"/>
  <c r="K45" i="13"/>
  <c r="C13" i="1"/>
  <c r="C12" i="4"/>
  <c r="G39" i="15"/>
  <c r="S38" i="17"/>
  <c r="V32" i="18"/>
  <c r="C31" i="17"/>
  <c r="I20" i="17"/>
  <c r="P21" i="7"/>
  <c r="G33" i="11"/>
  <c r="K32" i="11"/>
  <c r="O32" i="17" s="1"/>
  <c r="AF12" i="1" l="1"/>
  <c r="G11" i="17"/>
  <c r="K11" i="4"/>
  <c r="C34" i="9"/>
  <c r="C33" i="8"/>
  <c r="AD33" i="9"/>
  <c r="I33" i="8" s="1"/>
  <c r="M33" i="17" s="1"/>
  <c r="E18" i="4"/>
  <c r="J19" i="1"/>
  <c r="C44" i="11"/>
  <c r="U37" i="9"/>
  <c r="G36" i="8"/>
  <c r="Q13" i="1"/>
  <c r="G12" i="4"/>
  <c r="C43" i="12"/>
  <c r="G43" i="12" s="1"/>
  <c r="Q43" i="17" s="1"/>
  <c r="C44" i="13"/>
  <c r="S43" i="13"/>
  <c r="S39" i="17"/>
  <c r="G40" i="15"/>
  <c r="E11" i="17"/>
  <c r="AK12" i="1"/>
  <c r="K33" i="11"/>
  <c r="O33" i="17" s="1"/>
  <c r="G34" i="11"/>
  <c r="C32" i="17"/>
  <c r="V33" i="18"/>
  <c r="C14" i="1"/>
  <c r="C13" i="4"/>
  <c r="K44" i="5"/>
  <c r="K43" i="17"/>
  <c r="I21" i="17"/>
  <c r="P22" i="7"/>
  <c r="K46" i="13"/>
  <c r="E45" i="12"/>
  <c r="I44" i="16"/>
  <c r="U43" i="17"/>
  <c r="Y18" i="1"/>
  <c r="I17" i="4"/>
  <c r="L40" i="9"/>
  <c r="E39" i="8"/>
  <c r="G12" i="17" l="1"/>
  <c r="K12" i="4"/>
  <c r="AF13" i="1"/>
  <c r="G37" i="8"/>
  <c r="U38" i="9"/>
  <c r="K44" i="17"/>
  <c r="K45" i="5"/>
  <c r="Y19" i="1"/>
  <c r="I18" i="4"/>
  <c r="K47" i="13"/>
  <c r="E46" i="12"/>
  <c r="C44" i="12"/>
  <c r="G44" i="12" s="1"/>
  <c r="Q44" i="17" s="1"/>
  <c r="C45" i="13"/>
  <c r="S44" i="13"/>
  <c r="J20" i="1"/>
  <c r="E19" i="4"/>
  <c r="I22" i="17"/>
  <c r="P23" i="7"/>
  <c r="G35" i="11"/>
  <c r="K34" i="11"/>
  <c r="O34" i="17" s="1"/>
  <c r="G41" i="15"/>
  <c r="S40" i="17"/>
  <c r="E40" i="8"/>
  <c r="L41" i="9"/>
  <c r="U44" i="17"/>
  <c r="I45" i="16"/>
  <c r="C15" i="1"/>
  <c r="C14" i="4"/>
  <c r="C33" i="17"/>
  <c r="V34" i="18"/>
  <c r="AK13" i="1"/>
  <c r="E12" i="17"/>
  <c r="G13" i="4"/>
  <c r="Q14" i="1"/>
  <c r="C45" i="11"/>
  <c r="C34" i="8"/>
  <c r="C35" i="9"/>
  <c r="AD34" i="9"/>
  <c r="I34" i="8" s="1"/>
  <c r="M34" i="17" s="1"/>
  <c r="K13" i="4" l="1"/>
  <c r="G13" i="17"/>
  <c r="AF14" i="1"/>
  <c r="C46" i="11"/>
  <c r="C16" i="1"/>
  <c r="C15" i="4"/>
  <c r="G36" i="11"/>
  <c r="K35" i="11"/>
  <c r="O35" i="17" s="1"/>
  <c r="G14" i="4"/>
  <c r="Q15" i="1"/>
  <c r="C34" i="17"/>
  <c r="V35" i="18"/>
  <c r="I46" i="16"/>
  <c r="U45" i="17"/>
  <c r="P24" i="7"/>
  <c r="I23" i="17"/>
  <c r="K48" i="13"/>
  <c r="E47" i="12"/>
  <c r="AK14" i="1"/>
  <c r="E13" i="17"/>
  <c r="G42" i="15"/>
  <c r="S41" i="17"/>
  <c r="C45" i="12"/>
  <c r="G45" i="12" s="1"/>
  <c r="Q45" i="17" s="1"/>
  <c r="S45" i="13"/>
  <c r="C46" i="13"/>
  <c r="G38" i="8"/>
  <c r="U39" i="9"/>
  <c r="J21" i="1"/>
  <c r="E20" i="4"/>
  <c r="K45" i="17"/>
  <c r="K46" i="5"/>
  <c r="C36" i="9"/>
  <c r="AD35" i="9"/>
  <c r="I35" i="8" s="1"/>
  <c r="M35" i="17" s="1"/>
  <c r="C35" i="8"/>
  <c r="L42" i="9"/>
  <c r="E41" i="8"/>
  <c r="Y20" i="1"/>
  <c r="I19" i="4"/>
  <c r="G14" i="17" l="1"/>
  <c r="AF15" i="1"/>
  <c r="K14" i="4"/>
  <c r="L43" i="9"/>
  <c r="E42" i="8"/>
  <c r="Q16" i="1"/>
  <c r="G15" i="4"/>
  <c r="C47" i="13"/>
  <c r="S46" i="13"/>
  <c r="C46" i="12"/>
  <c r="G46" i="12" s="1"/>
  <c r="Q46" i="17" s="1"/>
  <c r="G43" i="15"/>
  <c r="S42" i="17"/>
  <c r="E48" i="12"/>
  <c r="K49" i="13"/>
  <c r="U46" i="17"/>
  <c r="I47" i="16"/>
  <c r="C16" i="4"/>
  <c r="C17" i="1"/>
  <c r="C35" i="17"/>
  <c r="V36" i="18"/>
  <c r="C47" i="11"/>
  <c r="I20" i="4"/>
  <c r="Y21" i="1"/>
  <c r="C37" i="9"/>
  <c r="AD36" i="9"/>
  <c r="I36" i="8" s="1"/>
  <c r="M36" i="17" s="1"/>
  <c r="C36" i="8"/>
  <c r="J22" i="1"/>
  <c r="E21" i="4"/>
  <c r="K46" i="17"/>
  <c r="K47" i="5"/>
  <c r="G39" i="8"/>
  <c r="U40" i="9"/>
  <c r="E14" i="17"/>
  <c r="AK15" i="1"/>
  <c r="P25" i="7"/>
  <c r="I24" i="17"/>
  <c r="G37" i="11"/>
  <c r="K36" i="11"/>
  <c r="O36" i="17" s="1"/>
  <c r="K15" i="4" l="1"/>
  <c r="AF16" i="1"/>
  <c r="G15" i="17"/>
  <c r="P26" i="7"/>
  <c r="I25" i="17"/>
  <c r="K47" i="17"/>
  <c r="K48" i="5"/>
  <c r="C48" i="11"/>
  <c r="C17" i="4"/>
  <c r="C18" i="1"/>
  <c r="E49" i="12"/>
  <c r="K50" i="13"/>
  <c r="Q17" i="1"/>
  <c r="G16" i="4"/>
  <c r="E22" i="4"/>
  <c r="J23" i="1"/>
  <c r="S43" i="17"/>
  <c r="G44" i="15"/>
  <c r="E15" i="17"/>
  <c r="AK16" i="1"/>
  <c r="G38" i="11"/>
  <c r="K37" i="11"/>
  <c r="O37" i="17" s="1"/>
  <c r="G40" i="8"/>
  <c r="U41" i="9"/>
  <c r="C38" i="9"/>
  <c r="C37" i="8"/>
  <c r="AD37" i="9"/>
  <c r="I37" i="8" s="1"/>
  <c r="M37" i="17" s="1"/>
  <c r="I21" i="4"/>
  <c r="Y22" i="1"/>
  <c r="V37" i="18"/>
  <c r="C36" i="17"/>
  <c r="I48" i="16"/>
  <c r="U47" i="17"/>
  <c r="C48" i="13"/>
  <c r="S47" i="13"/>
  <c r="C47" i="12"/>
  <c r="G47" i="12" s="1"/>
  <c r="Q47" i="17" s="1"/>
  <c r="E43" i="8"/>
  <c r="L44" i="9"/>
  <c r="G16" i="17" l="1"/>
  <c r="K16" i="4"/>
  <c r="AF17" i="1"/>
  <c r="S44" i="17"/>
  <c r="G45" i="15"/>
  <c r="C19" i="1"/>
  <c r="C18" i="4"/>
  <c r="E44" i="8"/>
  <c r="L45" i="9"/>
  <c r="V38" i="18"/>
  <c r="C37" i="17"/>
  <c r="G39" i="11"/>
  <c r="K38" i="11"/>
  <c r="O38" i="17" s="1"/>
  <c r="G17" i="4"/>
  <c r="Q18" i="1"/>
  <c r="C39" i="9"/>
  <c r="C38" i="8"/>
  <c r="AD38" i="9"/>
  <c r="I38" i="8" s="1"/>
  <c r="M38" i="17" s="1"/>
  <c r="AK17" i="1"/>
  <c r="E16" i="17"/>
  <c r="E23" i="4"/>
  <c r="J24" i="1"/>
  <c r="K51" i="13"/>
  <c r="E50" i="12"/>
  <c r="K49" i="5"/>
  <c r="K48" i="17"/>
  <c r="C49" i="13"/>
  <c r="C48" i="12"/>
  <c r="G48" i="12" s="1"/>
  <c r="Q48" i="17" s="1"/>
  <c r="S48" i="13"/>
  <c r="Y23" i="1"/>
  <c r="I22" i="4"/>
  <c r="I49" i="16"/>
  <c r="U48" i="17"/>
  <c r="U42" i="9"/>
  <c r="G41" i="8"/>
  <c r="C49" i="11"/>
  <c r="I26" i="17"/>
  <c r="P27" i="7"/>
  <c r="G17" i="17" l="1"/>
  <c r="AF18" i="1"/>
  <c r="K17" i="4"/>
  <c r="C50" i="11"/>
  <c r="AK18" i="1"/>
  <c r="E17" i="17"/>
  <c r="P28" i="7"/>
  <c r="I27" i="17"/>
  <c r="I23" i="4"/>
  <c r="Y24" i="1"/>
  <c r="E24" i="4"/>
  <c r="J25" i="1"/>
  <c r="V39" i="18"/>
  <c r="C38" i="17"/>
  <c r="C19" i="4"/>
  <c r="C20" i="1"/>
  <c r="C49" i="12"/>
  <c r="G49" i="12" s="1"/>
  <c r="Q49" i="17" s="1"/>
  <c r="S49" i="13"/>
  <c r="C50" i="13"/>
  <c r="L46" i="9"/>
  <c r="E45" i="8"/>
  <c r="S45" i="17"/>
  <c r="G46" i="15"/>
  <c r="K52" i="13"/>
  <c r="E51" i="12"/>
  <c r="Q19" i="1"/>
  <c r="G18" i="4"/>
  <c r="G42" i="8"/>
  <c r="U43" i="9"/>
  <c r="K50" i="5"/>
  <c r="K49" i="17"/>
  <c r="I50" i="16"/>
  <c r="U49" i="17"/>
  <c r="AD39" i="9"/>
  <c r="I39" i="8" s="1"/>
  <c r="M39" i="17" s="1"/>
  <c r="C39" i="8"/>
  <c r="C40" i="9"/>
  <c r="G40" i="11"/>
  <c r="K39" i="11"/>
  <c r="O39" i="17" s="1"/>
  <c r="G18" i="17" l="1"/>
  <c r="K18" i="4"/>
  <c r="AF19" i="1"/>
  <c r="G47" i="15"/>
  <c r="S46" i="17"/>
  <c r="Y25" i="1"/>
  <c r="I24" i="4"/>
  <c r="K51" i="5"/>
  <c r="K50" i="17"/>
  <c r="G19" i="4"/>
  <c r="Q20" i="1"/>
  <c r="C39" i="17"/>
  <c r="V40" i="18"/>
  <c r="AK19" i="1"/>
  <c r="E18" i="17"/>
  <c r="G41" i="11"/>
  <c r="K40" i="11"/>
  <c r="O40" i="17" s="1"/>
  <c r="U44" i="9"/>
  <c r="G43" i="8"/>
  <c r="C20" i="4"/>
  <c r="C21" i="1"/>
  <c r="E25" i="4"/>
  <c r="J26" i="1"/>
  <c r="C41" i="9"/>
  <c r="C40" i="8"/>
  <c r="AD40" i="9"/>
  <c r="I40" i="8" s="1"/>
  <c r="M40" i="17" s="1"/>
  <c r="U50" i="17"/>
  <c r="I51" i="16"/>
  <c r="E52" i="12"/>
  <c r="K53" i="13"/>
  <c r="L47" i="9"/>
  <c r="E46" i="8"/>
  <c r="C50" i="12"/>
  <c r="G50" i="12" s="1"/>
  <c r="Q50" i="17" s="1"/>
  <c r="C51" i="13"/>
  <c r="S50" i="13"/>
  <c r="I28" i="17"/>
  <c r="P29" i="7"/>
  <c r="C51" i="11"/>
  <c r="G19" i="17" l="1"/>
  <c r="K19" i="4"/>
  <c r="AF20" i="1"/>
  <c r="J27" i="1"/>
  <c r="E26" i="4"/>
  <c r="L48" i="9"/>
  <c r="E47" i="8"/>
  <c r="G44" i="8"/>
  <c r="U45" i="9"/>
  <c r="E19" i="17"/>
  <c r="AK20" i="1"/>
  <c r="Y26" i="1"/>
  <c r="I25" i="4"/>
  <c r="C42" i="9"/>
  <c r="C41" i="8"/>
  <c r="AD41" i="9"/>
  <c r="I41" i="8" s="1"/>
  <c r="M41" i="17" s="1"/>
  <c r="C21" i="4"/>
  <c r="C22" i="1"/>
  <c r="C40" i="17"/>
  <c r="V41" i="18"/>
  <c r="U51" i="17"/>
  <c r="I52" i="16"/>
  <c r="Q21" i="1"/>
  <c r="G20" i="4"/>
  <c r="C52" i="11"/>
  <c r="C52" i="13"/>
  <c r="C51" i="12"/>
  <c r="G51" i="12" s="1"/>
  <c r="Q51" i="17" s="1"/>
  <c r="S51" i="13"/>
  <c r="E53" i="12"/>
  <c r="K54" i="13"/>
  <c r="I29" i="17"/>
  <c r="P30" i="7"/>
  <c r="G42" i="11"/>
  <c r="K41" i="11"/>
  <c r="O41" i="17" s="1"/>
  <c r="K51" i="17"/>
  <c r="K52" i="5"/>
  <c r="G48" i="15"/>
  <c r="S47" i="17"/>
  <c r="G20" i="17" l="1"/>
  <c r="AF21" i="1"/>
  <c r="K20" i="4"/>
  <c r="C53" i="13"/>
  <c r="C52" i="12"/>
  <c r="G52" i="12" s="1"/>
  <c r="Q52" i="17" s="1"/>
  <c r="S52" i="13"/>
  <c r="C53" i="11"/>
  <c r="U52" i="17"/>
  <c r="I53" i="16"/>
  <c r="C23" i="1"/>
  <c r="C22" i="4"/>
  <c r="C43" i="9"/>
  <c r="C42" i="8"/>
  <c r="AD42" i="9"/>
  <c r="I42" i="8" s="1"/>
  <c r="M42" i="17" s="1"/>
  <c r="L49" i="9"/>
  <c r="E48" i="8"/>
  <c r="K55" i="13"/>
  <c r="E54" i="12"/>
  <c r="G21" i="4"/>
  <c r="Q22" i="1"/>
  <c r="AK21" i="1"/>
  <c r="E20" i="17"/>
  <c r="S48" i="17"/>
  <c r="G49" i="15"/>
  <c r="U46" i="9"/>
  <c r="G45" i="8"/>
  <c r="G43" i="11"/>
  <c r="K42" i="11"/>
  <c r="O42" i="17" s="1"/>
  <c r="I30" i="17"/>
  <c r="P31" i="7"/>
  <c r="K52" i="17"/>
  <c r="K53" i="5"/>
  <c r="V42" i="18"/>
  <c r="C41" i="17"/>
  <c r="I26" i="4"/>
  <c r="Y27" i="1"/>
  <c r="J28" i="1"/>
  <c r="E27" i="4"/>
  <c r="K21" i="4" l="1"/>
  <c r="AF22" i="1"/>
  <c r="G21" i="17"/>
  <c r="G44" i="11"/>
  <c r="K43" i="11"/>
  <c r="O43" i="17" s="1"/>
  <c r="C24" i="1"/>
  <c r="C23" i="4"/>
  <c r="C54" i="11"/>
  <c r="E28" i="4"/>
  <c r="J29" i="1"/>
  <c r="V43" i="18"/>
  <c r="C42" i="17"/>
  <c r="U47" i="9"/>
  <c r="G46" i="8"/>
  <c r="E21" i="17"/>
  <c r="AK22" i="1"/>
  <c r="E55" i="12"/>
  <c r="K56" i="13"/>
  <c r="U53" i="17"/>
  <c r="I54" i="16"/>
  <c r="L50" i="9"/>
  <c r="L51" i="9" s="1"/>
  <c r="L52" i="9" s="1"/>
  <c r="L53" i="9" s="1"/>
  <c r="L54" i="9" s="1"/>
  <c r="L55" i="9" s="1"/>
  <c r="L56" i="9" s="1"/>
  <c r="L57" i="9" s="1"/>
  <c r="L58" i="9" s="1"/>
  <c r="L59" i="9" s="1"/>
  <c r="L60" i="9" s="1"/>
  <c r="L61" i="9" s="1"/>
  <c r="L62" i="9" s="1"/>
  <c r="L63" i="9" s="1"/>
  <c r="E49" i="8"/>
  <c r="I31" i="17"/>
  <c r="P32" i="7"/>
  <c r="I27" i="4"/>
  <c r="Y28" i="1"/>
  <c r="K54" i="5"/>
  <c r="K53" i="17"/>
  <c r="G50" i="15"/>
  <c r="S49" i="17"/>
  <c r="Q23" i="1"/>
  <c r="G22" i="4"/>
  <c r="C43" i="8"/>
  <c r="C44" i="9"/>
  <c r="AD43" i="9"/>
  <c r="I43" i="8" s="1"/>
  <c r="M43" i="17" s="1"/>
  <c r="S53" i="13"/>
  <c r="C53" i="12"/>
  <c r="G53" i="12" s="1"/>
  <c r="Q53" i="17" s="1"/>
  <c r="C54" i="13"/>
  <c r="G22" i="17" l="1"/>
  <c r="K22" i="4"/>
  <c r="AF23" i="1"/>
  <c r="S54" i="13"/>
  <c r="C55" i="13"/>
  <c r="C54" i="12"/>
  <c r="G54" i="12" s="1"/>
  <c r="Q54" i="17" s="1"/>
  <c r="Y29" i="1"/>
  <c r="I28" i="4"/>
  <c r="G47" i="8"/>
  <c r="U48" i="9"/>
  <c r="C25" i="1"/>
  <c r="C24" i="4"/>
  <c r="K54" i="17"/>
  <c r="K55" i="5"/>
  <c r="E29" i="4"/>
  <c r="J30" i="1"/>
  <c r="G51" i="15"/>
  <c r="S50" i="17"/>
  <c r="AK23" i="1"/>
  <c r="E22" i="17"/>
  <c r="Q24" i="1"/>
  <c r="G23" i="4"/>
  <c r="K57" i="13"/>
  <c r="E56" i="12"/>
  <c r="C45" i="9"/>
  <c r="C44" i="8"/>
  <c r="AD44" i="9"/>
  <c r="I44" i="8" s="1"/>
  <c r="M44" i="17" s="1"/>
  <c r="I55" i="16"/>
  <c r="U54" i="17"/>
  <c r="I32" i="17"/>
  <c r="P33" i="7"/>
  <c r="C43" i="17"/>
  <c r="V44" i="18"/>
  <c r="C55" i="11"/>
  <c r="G45" i="11"/>
  <c r="K44" i="11"/>
  <c r="O44" i="17" s="1"/>
  <c r="AF24" i="1" l="1"/>
  <c r="K23" i="4"/>
  <c r="G23" i="17"/>
  <c r="C26" i="1"/>
  <c r="C25" i="4"/>
  <c r="G46" i="11"/>
  <c r="K45" i="11"/>
  <c r="O45" i="17" s="1"/>
  <c r="I56" i="16"/>
  <c r="U55" i="17"/>
  <c r="E30" i="4"/>
  <c r="J31" i="1"/>
  <c r="I29" i="4"/>
  <c r="Y30" i="1"/>
  <c r="E23" i="17"/>
  <c r="AK24" i="1"/>
  <c r="C56" i="11"/>
  <c r="K55" i="17"/>
  <c r="K56" i="5"/>
  <c r="U49" i="9"/>
  <c r="G48" i="8"/>
  <c r="C56" i="13"/>
  <c r="C55" i="12"/>
  <c r="G55" i="12" s="1"/>
  <c r="Q55" i="17" s="1"/>
  <c r="S55" i="13"/>
  <c r="I33" i="17"/>
  <c r="P34" i="7"/>
  <c r="E57" i="12"/>
  <c r="K58" i="13"/>
  <c r="C44" i="17"/>
  <c r="V45" i="18"/>
  <c r="AD45" i="9"/>
  <c r="I45" i="8" s="1"/>
  <c r="M45" i="17" s="1"/>
  <c r="C45" i="8"/>
  <c r="C46" i="9"/>
  <c r="Q25" i="1"/>
  <c r="G24" i="4"/>
  <c r="S51" i="17"/>
  <c r="G52" i="15"/>
  <c r="AF25" i="1" l="1"/>
  <c r="K24" i="4"/>
  <c r="G24" i="17"/>
  <c r="K57" i="5"/>
  <c r="K56" i="17"/>
  <c r="E24" i="17"/>
  <c r="AK25" i="1"/>
  <c r="G47" i="11"/>
  <c r="K46" i="11"/>
  <c r="O46" i="17" s="1"/>
  <c r="K59" i="13"/>
  <c r="E58" i="12"/>
  <c r="U50" i="9"/>
  <c r="G49" i="8"/>
  <c r="C57" i="11"/>
  <c r="J32" i="1"/>
  <c r="E31" i="4"/>
  <c r="V46" i="18"/>
  <c r="C45" i="17"/>
  <c r="P35" i="7"/>
  <c r="I34" i="17"/>
  <c r="C56" i="12"/>
  <c r="G56" i="12" s="1"/>
  <c r="Q56" i="17" s="1"/>
  <c r="C57" i="13"/>
  <c r="S56" i="13"/>
  <c r="Q26" i="1"/>
  <c r="G25" i="4"/>
  <c r="G53" i="15"/>
  <c r="S52" i="17"/>
  <c r="C46" i="8"/>
  <c r="C47" i="9"/>
  <c r="AD46" i="9"/>
  <c r="I46" i="8" s="1"/>
  <c r="M46" i="17" s="1"/>
  <c r="Y31" i="1"/>
  <c r="I30" i="4"/>
  <c r="U56" i="17"/>
  <c r="I57" i="16"/>
  <c r="C27" i="1"/>
  <c r="C26" i="4"/>
  <c r="AF26" i="1" l="1"/>
  <c r="G25" i="17"/>
  <c r="K25" i="4"/>
  <c r="I31" i="4"/>
  <c r="Y32" i="1"/>
  <c r="E25" i="17"/>
  <c r="AK26" i="1"/>
  <c r="S53" i="17"/>
  <c r="G54" i="15"/>
  <c r="V47" i="18"/>
  <c r="C46" i="17"/>
  <c r="C58" i="11"/>
  <c r="K60" i="13"/>
  <c r="E59" i="12"/>
  <c r="C28" i="1"/>
  <c r="C27" i="4"/>
  <c r="U57" i="17"/>
  <c r="I58" i="16"/>
  <c r="C48" i="9"/>
  <c r="C47" i="8"/>
  <c r="AD47" i="9"/>
  <c r="I47" i="8" s="1"/>
  <c r="M47" i="17" s="1"/>
  <c r="C58" i="13"/>
  <c r="C57" i="12"/>
  <c r="G57" i="12" s="1"/>
  <c r="Q57" i="17" s="1"/>
  <c r="S57" i="13"/>
  <c r="Q27" i="1"/>
  <c r="G26" i="4"/>
  <c r="I35" i="17"/>
  <c r="P36" i="7"/>
  <c r="J33" i="1"/>
  <c r="E32" i="4"/>
  <c r="U51" i="9"/>
  <c r="G50" i="8"/>
  <c r="G48" i="11"/>
  <c r="K47" i="11"/>
  <c r="O47" i="17" s="1"/>
  <c r="K58" i="5"/>
  <c r="K57" i="17"/>
  <c r="G26" i="17" l="1"/>
  <c r="K26" i="4"/>
  <c r="AF27" i="1"/>
  <c r="U52" i="9"/>
  <c r="G51" i="8"/>
  <c r="U58" i="17"/>
  <c r="I59" i="16"/>
  <c r="C58" i="12"/>
  <c r="G58" i="12" s="1"/>
  <c r="Q58" i="17" s="1"/>
  <c r="C59" i="13"/>
  <c r="S58" i="13"/>
  <c r="E60" i="12"/>
  <c r="K61" i="13"/>
  <c r="V48" i="18"/>
  <c r="C47" i="17"/>
  <c r="K59" i="5"/>
  <c r="K58" i="17"/>
  <c r="E26" i="17"/>
  <c r="AK27" i="1"/>
  <c r="J34" i="1"/>
  <c r="E33" i="4"/>
  <c r="S54" i="17"/>
  <c r="G55" i="15"/>
  <c r="Y33" i="1"/>
  <c r="I32" i="4"/>
  <c r="G49" i="11"/>
  <c r="K48" i="11"/>
  <c r="O48" i="17" s="1"/>
  <c r="Q28" i="1"/>
  <c r="G27" i="4"/>
  <c r="P37" i="7"/>
  <c r="I36" i="17"/>
  <c r="C49" i="9"/>
  <c r="C48" i="8"/>
  <c r="AD48" i="9"/>
  <c r="I48" i="8" s="1"/>
  <c r="M48" i="17" s="1"/>
  <c r="C29" i="1"/>
  <c r="C28" i="4"/>
  <c r="C59" i="11"/>
  <c r="AF28" i="1" l="1"/>
  <c r="K27" i="4"/>
  <c r="G27" i="17"/>
  <c r="C60" i="11"/>
  <c r="Q29" i="1"/>
  <c r="G28" i="4"/>
  <c r="E34" i="4"/>
  <c r="J35" i="1"/>
  <c r="U59" i="17"/>
  <c r="I60" i="16"/>
  <c r="C49" i="8"/>
  <c r="C50" i="9"/>
  <c r="AD49" i="9"/>
  <c r="I49" i="8" s="1"/>
  <c r="M49" i="17" s="1"/>
  <c r="G56" i="15"/>
  <c r="S55" i="17"/>
  <c r="AK28" i="1"/>
  <c r="E27" i="17"/>
  <c r="K59" i="17"/>
  <c r="K60" i="5"/>
  <c r="C29" i="4"/>
  <c r="C30" i="1"/>
  <c r="I37" i="17"/>
  <c r="P38" i="7"/>
  <c r="G50" i="11"/>
  <c r="K49" i="11"/>
  <c r="O49" i="17" s="1"/>
  <c r="C48" i="17"/>
  <c r="V49" i="18"/>
  <c r="S59" i="13"/>
  <c r="C59" i="12"/>
  <c r="G59" i="12" s="1"/>
  <c r="Q59" i="17" s="1"/>
  <c r="C60" i="13"/>
  <c r="I33" i="4"/>
  <c r="Y34" i="1"/>
  <c r="E61" i="12"/>
  <c r="K62" i="13"/>
  <c r="G52" i="8"/>
  <c r="U53" i="9"/>
  <c r="K28" i="4" l="1"/>
  <c r="G28" i="17"/>
  <c r="AF29" i="1"/>
  <c r="S60" i="13"/>
  <c r="C60" i="12"/>
  <c r="G60" i="12" s="1"/>
  <c r="Q60" i="17" s="1"/>
  <c r="C61" i="13"/>
  <c r="Q30" i="1"/>
  <c r="G29" i="4"/>
  <c r="S56" i="17"/>
  <c r="G57" i="15"/>
  <c r="E62" i="12"/>
  <c r="K63" i="13"/>
  <c r="E63" i="12" s="1"/>
  <c r="C31" i="1"/>
  <c r="C30" i="4"/>
  <c r="G51" i="11"/>
  <c r="K50" i="11"/>
  <c r="O50" i="17" s="1"/>
  <c r="E28" i="17"/>
  <c r="AK29" i="1"/>
  <c r="AD50" i="9"/>
  <c r="I50" i="8" s="1"/>
  <c r="M50" i="17" s="1"/>
  <c r="C51" i="9"/>
  <c r="C50" i="8"/>
  <c r="J36" i="1"/>
  <c r="E35" i="4"/>
  <c r="U60" i="17"/>
  <c r="I61" i="16"/>
  <c r="I34" i="4"/>
  <c r="Y35" i="1"/>
  <c r="G53" i="8"/>
  <c r="U54" i="9"/>
  <c r="V50" i="18"/>
  <c r="C49" i="17"/>
  <c r="P39" i="7"/>
  <c r="I38" i="17"/>
  <c r="K60" i="17"/>
  <c r="K61" i="5"/>
  <c r="C61" i="11"/>
  <c r="AF30" i="1" l="1"/>
  <c r="K29" i="4"/>
  <c r="G29" i="17"/>
  <c r="I39" i="17"/>
  <c r="P40" i="7"/>
  <c r="C52" i="9"/>
  <c r="C51" i="8"/>
  <c r="AD51" i="9"/>
  <c r="I51" i="8" s="1"/>
  <c r="M51" i="17" s="1"/>
  <c r="K61" i="17"/>
  <c r="K62" i="5"/>
  <c r="G52" i="11"/>
  <c r="K51" i="11"/>
  <c r="O51" i="17" s="1"/>
  <c r="C62" i="13"/>
  <c r="C61" i="12"/>
  <c r="G61" i="12" s="1"/>
  <c r="Q61" i="17" s="1"/>
  <c r="S61" i="13"/>
  <c r="C62" i="11"/>
  <c r="Q31" i="1"/>
  <c r="G30" i="4"/>
  <c r="Y36" i="1"/>
  <c r="I35" i="4"/>
  <c r="C50" i="17"/>
  <c r="V51" i="18"/>
  <c r="J37" i="1"/>
  <c r="E36" i="4"/>
  <c r="E29" i="17"/>
  <c r="AK30" i="1"/>
  <c r="G58" i="15"/>
  <c r="S57" i="17"/>
  <c r="U55" i="9"/>
  <c r="G54" i="8"/>
  <c r="I62" i="16"/>
  <c r="U61" i="17"/>
  <c r="C32" i="1"/>
  <c r="C31" i="4"/>
  <c r="G30" i="17" l="1"/>
  <c r="AF31" i="1"/>
  <c r="K30" i="4"/>
  <c r="I63" i="16"/>
  <c r="U63" i="17" s="1"/>
  <c r="U62" i="17"/>
  <c r="AK31" i="1"/>
  <c r="E30" i="17"/>
  <c r="G31" i="4"/>
  <c r="Q32" i="1"/>
  <c r="K63" i="5"/>
  <c r="K63" i="17" s="1"/>
  <c r="K62" i="17"/>
  <c r="C52" i="8"/>
  <c r="C53" i="9"/>
  <c r="AD52" i="9"/>
  <c r="I52" i="8" s="1"/>
  <c r="M52" i="17" s="1"/>
  <c r="C51" i="17"/>
  <c r="V52" i="18"/>
  <c r="G53" i="11"/>
  <c r="K52" i="11"/>
  <c r="O52" i="17" s="1"/>
  <c r="C32" i="4"/>
  <c r="C33" i="1"/>
  <c r="U56" i="9"/>
  <c r="G55" i="8"/>
  <c r="C62" i="12"/>
  <c r="G62" i="12" s="1"/>
  <c r="Q62" i="17" s="1"/>
  <c r="C63" i="13"/>
  <c r="S62" i="13"/>
  <c r="P41" i="7"/>
  <c r="I40" i="17"/>
  <c r="S58" i="17"/>
  <c r="G59" i="15"/>
  <c r="J38" i="1"/>
  <c r="E37" i="4"/>
  <c r="Y37" i="1"/>
  <c r="I36" i="4"/>
  <c r="C63" i="11"/>
  <c r="G31" i="17" l="1"/>
  <c r="AF32" i="1"/>
  <c r="K31" i="4"/>
  <c r="I37" i="4"/>
  <c r="Y38" i="1"/>
  <c r="S63" i="13"/>
  <c r="C63" i="12"/>
  <c r="G63" i="12" s="1"/>
  <c r="Q63" i="17" s="1"/>
  <c r="E31" i="17"/>
  <c r="AK32" i="1"/>
  <c r="C52" i="17"/>
  <c r="V53" i="18"/>
  <c r="C34" i="1"/>
  <c r="C33" i="4"/>
  <c r="J39" i="1"/>
  <c r="E38" i="4"/>
  <c r="I41" i="17"/>
  <c r="P42" i="7"/>
  <c r="G60" i="15"/>
  <c r="S59" i="17"/>
  <c r="U57" i="9"/>
  <c r="G56" i="8"/>
  <c r="G54" i="11"/>
  <c r="K53" i="11"/>
  <c r="O53" i="17" s="1"/>
  <c r="AD53" i="9"/>
  <c r="I53" i="8" s="1"/>
  <c r="M53" i="17" s="1"/>
  <c r="C54" i="9"/>
  <c r="C53" i="8"/>
  <c r="Q33" i="1"/>
  <c r="G32" i="4"/>
  <c r="K32" i="4" l="1"/>
  <c r="G32" i="17"/>
  <c r="AF33" i="1"/>
  <c r="S60" i="17"/>
  <c r="G61" i="15"/>
  <c r="V54" i="18"/>
  <c r="C53" i="17"/>
  <c r="G55" i="11"/>
  <c r="K54" i="11"/>
  <c r="O54" i="17" s="1"/>
  <c r="E39" i="4"/>
  <c r="J40" i="1"/>
  <c r="P43" i="7"/>
  <c r="I42" i="17"/>
  <c r="U58" i="9"/>
  <c r="G57" i="8"/>
  <c r="C34" i="4"/>
  <c r="C35" i="1"/>
  <c r="E32" i="17"/>
  <c r="AK33" i="1"/>
  <c r="Y39" i="1"/>
  <c r="I38" i="4"/>
  <c r="C54" i="8"/>
  <c r="AD54" i="9"/>
  <c r="I54" i="8" s="1"/>
  <c r="M54" i="17" s="1"/>
  <c r="C55" i="9"/>
  <c r="Q34" i="1"/>
  <c r="G33" i="4"/>
  <c r="AF34" i="1" l="1"/>
  <c r="K33" i="4"/>
  <c r="G33" i="17"/>
  <c r="C55" i="8"/>
  <c r="AD55" i="9"/>
  <c r="I55" i="8" s="1"/>
  <c r="M55" i="17" s="1"/>
  <c r="C56" i="9"/>
  <c r="I39" i="4"/>
  <c r="Y40" i="1"/>
  <c r="P44" i="7"/>
  <c r="I43" i="17"/>
  <c r="AK34" i="1"/>
  <c r="E33" i="17"/>
  <c r="E40" i="4"/>
  <c r="J41" i="1"/>
  <c r="C54" i="17"/>
  <c r="V55" i="18"/>
  <c r="G58" i="8"/>
  <c r="U59" i="9"/>
  <c r="S61" i="17"/>
  <c r="G62" i="15"/>
  <c r="G34" i="4"/>
  <c r="Q35" i="1"/>
  <c r="C36" i="1"/>
  <c r="C35" i="4"/>
  <c r="G56" i="11"/>
  <c r="K55" i="11"/>
  <c r="O55" i="17" s="1"/>
  <c r="G34" i="17" l="1"/>
  <c r="K34" i="4"/>
  <c r="AF35" i="1"/>
  <c r="G63" i="15"/>
  <c r="S63" i="17" s="1"/>
  <c r="S62" i="17"/>
  <c r="C55" i="17"/>
  <c r="V56" i="18"/>
  <c r="E34" i="17"/>
  <c r="AK35" i="1"/>
  <c r="C37" i="1"/>
  <c r="C36" i="4"/>
  <c r="E41" i="4"/>
  <c r="J42" i="1"/>
  <c r="C57" i="9"/>
  <c r="C56" i="8"/>
  <c r="AD56" i="9"/>
  <c r="I56" i="8" s="1"/>
  <c r="M56" i="17" s="1"/>
  <c r="U60" i="9"/>
  <c r="G59" i="8"/>
  <c r="P45" i="7"/>
  <c r="I44" i="17"/>
  <c r="G35" i="4"/>
  <c r="Q36" i="1"/>
  <c r="G57" i="11"/>
  <c r="K56" i="11"/>
  <c r="O56" i="17" s="1"/>
  <c r="I40" i="4"/>
  <c r="Y41" i="1"/>
  <c r="G35" i="17" l="1"/>
  <c r="AF36" i="1"/>
  <c r="K35" i="4"/>
  <c r="P46" i="7"/>
  <c r="I45" i="17"/>
  <c r="V57" i="18"/>
  <c r="C56" i="17"/>
  <c r="G58" i="11"/>
  <c r="K57" i="11"/>
  <c r="O57" i="17" s="1"/>
  <c r="G36" i="4"/>
  <c r="Q37" i="1"/>
  <c r="C58" i="9"/>
  <c r="AD57" i="9"/>
  <c r="I57" i="8" s="1"/>
  <c r="M57" i="17" s="1"/>
  <c r="C57" i="8"/>
  <c r="C38" i="1"/>
  <c r="C37" i="4"/>
  <c r="G60" i="8"/>
  <c r="U61" i="9"/>
  <c r="E42" i="4"/>
  <c r="J43" i="1"/>
  <c r="E35" i="17"/>
  <c r="AK36" i="1"/>
  <c r="I41" i="4"/>
  <c r="Y42" i="1"/>
  <c r="G36" i="17" l="1"/>
  <c r="K36" i="4"/>
  <c r="AF37" i="1"/>
  <c r="J44" i="1"/>
  <c r="E43" i="4"/>
  <c r="C59" i="9"/>
  <c r="C58" i="8"/>
  <c r="AD58" i="9"/>
  <c r="I58" i="8" s="1"/>
  <c r="M58" i="17" s="1"/>
  <c r="V58" i="18"/>
  <c r="C57" i="17"/>
  <c r="Y43" i="1"/>
  <c r="I42" i="4"/>
  <c r="AK37" i="1"/>
  <c r="E36" i="17"/>
  <c r="C38" i="4"/>
  <c r="C39" i="1"/>
  <c r="G37" i="4"/>
  <c r="Q38" i="1"/>
  <c r="U62" i="9"/>
  <c r="G61" i="8"/>
  <c r="G59" i="11"/>
  <c r="K58" i="11"/>
  <c r="O58" i="17" s="1"/>
  <c r="I46" i="17"/>
  <c r="P47" i="7"/>
  <c r="K37" i="4" l="1"/>
  <c r="G37" i="17"/>
  <c r="AF38" i="1"/>
  <c r="P48" i="7"/>
  <c r="I47" i="17"/>
  <c r="U63" i="9"/>
  <c r="G63" i="8" s="1"/>
  <c r="G62" i="8"/>
  <c r="AD59" i="9"/>
  <c r="I59" i="8" s="1"/>
  <c r="M59" i="17" s="1"/>
  <c r="C59" i="8"/>
  <c r="C60" i="9"/>
  <c r="C40" i="1"/>
  <c r="C39" i="4"/>
  <c r="I43" i="4"/>
  <c r="Y44" i="1"/>
  <c r="G38" i="4"/>
  <c r="Q39" i="1"/>
  <c r="G60" i="11"/>
  <c r="K59" i="11"/>
  <c r="O59" i="17" s="1"/>
  <c r="E37" i="17"/>
  <c r="AK38" i="1"/>
  <c r="C58" i="17"/>
  <c r="V59" i="18"/>
  <c r="J45" i="1"/>
  <c r="E44" i="4"/>
  <c r="G38" i="17" l="1"/>
  <c r="K38" i="4"/>
  <c r="AF39" i="1"/>
  <c r="AK39" i="1"/>
  <c r="E38" i="17"/>
  <c r="Q40" i="1"/>
  <c r="G39" i="4"/>
  <c r="AD60" i="9"/>
  <c r="I60" i="8" s="1"/>
  <c r="M60" i="17" s="1"/>
  <c r="C60" i="8"/>
  <c r="C61" i="9"/>
  <c r="V60" i="18"/>
  <c r="C59" i="17"/>
  <c r="I44" i="4"/>
  <c r="Y45" i="1"/>
  <c r="J46" i="1"/>
  <c r="E45" i="4"/>
  <c r="C41" i="1"/>
  <c r="C40" i="4"/>
  <c r="G61" i="11"/>
  <c r="K60" i="11"/>
  <c r="O60" i="17" s="1"/>
  <c r="I48" i="17"/>
  <c r="P49" i="7"/>
  <c r="AF40" i="1" l="1"/>
  <c r="K39" i="4"/>
  <c r="G39" i="17"/>
  <c r="J47" i="1"/>
  <c r="E46" i="4"/>
  <c r="V61" i="18"/>
  <c r="C60" i="17"/>
  <c r="C62" i="9"/>
  <c r="AD61" i="9"/>
  <c r="I61" i="8" s="1"/>
  <c r="M61" i="17" s="1"/>
  <c r="C61" i="8"/>
  <c r="G40" i="4"/>
  <c r="Q41" i="1"/>
  <c r="G62" i="11"/>
  <c r="K61" i="11"/>
  <c r="O61" i="17" s="1"/>
  <c r="I45" i="4"/>
  <c r="Y46" i="1"/>
  <c r="P50" i="7"/>
  <c r="I49" i="17"/>
  <c r="C42" i="1"/>
  <c r="C41" i="4"/>
  <c r="AK40" i="1"/>
  <c r="E39" i="17"/>
  <c r="AF41" i="1" l="1"/>
  <c r="K40" i="4"/>
  <c r="G40" i="17"/>
  <c r="G41" i="4"/>
  <c r="Q42" i="1"/>
  <c r="C62" i="8"/>
  <c r="AD62" i="9"/>
  <c r="I62" i="8" s="1"/>
  <c r="M62" i="17" s="1"/>
  <c r="C63" i="9"/>
  <c r="AK41" i="1"/>
  <c r="E40" i="17"/>
  <c r="I46" i="4"/>
  <c r="Y47" i="1"/>
  <c r="C42" i="4"/>
  <c r="C43" i="1"/>
  <c r="C61" i="17"/>
  <c r="V62" i="18"/>
  <c r="C62" i="17" s="1"/>
  <c r="P51" i="7"/>
  <c r="I50" i="17"/>
  <c r="G63" i="11"/>
  <c r="K63" i="11" s="1"/>
  <c r="O63" i="17" s="1"/>
  <c r="K62" i="11"/>
  <c r="O62" i="17" s="1"/>
  <c r="J48" i="1"/>
  <c r="E47" i="4"/>
  <c r="G41" i="17" l="1"/>
  <c r="K41" i="4"/>
  <c r="AF42" i="1"/>
  <c r="C43" i="4"/>
  <c r="C44" i="1"/>
  <c r="P52" i="7"/>
  <c r="I51" i="17"/>
  <c r="E41" i="17"/>
  <c r="AK42" i="1"/>
  <c r="G42" i="4"/>
  <c r="Q43" i="1"/>
  <c r="J49" i="1"/>
  <c r="E48" i="4"/>
  <c r="I47" i="4"/>
  <c r="Y48" i="1"/>
  <c r="AD63" i="9"/>
  <c r="I63" i="8" s="1"/>
  <c r="M63" i="17" s="1"/>
  <c r="C63" i="8"/>
  <c r="G42" i="17" l="1"/>
  <c r="AF43" i="1"/>
  <c r="K42" i="4"/>
  <c r="J50" i="1"/>
  <c r="E49" i="4"/>
  <c r="Q44" i="1"/>
  <c r="G43" i="4"/>
  <c r="I52" i="17"/>
  <c r="P53" i="7"/>
  <c r="C44" i="4"/>
  <c r="C45" i="1"/>
  <c r="Y49" i="1"/>
  <c r="I48" i="4"/>
  <c r="AK43" i="1"/>
  <c r="E42" i="17"/>
  <c r="K43" i="4" l="1"/>
  <c r="AF44" i="1"/>
  <c r="G43" i="17"/>
  <c r="I49" i="4"/>
  <c r="Y50" i="1"/>
  <c r="Q45" i="1"/>
  <c r="G44" i="4"/>
  <c r="C46" i="1"/>
  <c r="C45" i="4"/>
  <c r="AK44" i="1"/>
  <c r="E43" i="17"/>
  <c r="I53" i="17"/>
  <c r="P54" i="7"/>
  <c r="E50" i="4"/>
  <c r="J51" i="1"/>
  <c r="G44" i="17" l="1"/>
  <c r="K44" i="4"/>
  <c r="AF45" i="1"/>
  <c r="E51" i="4"/>
  <c r="J52" i="1"/>
  <c r="AK45" i="1"/>
  <c r="E44" i="17"/>
  <c r="Q46" i="1"/>
  <c r="G45" i="4"/>
  <c r="Y51" i="1"/>
  <c r="I50" i="4"/>
  <c r="I54" i="17"/>
  <c r="P55" i="7"/>
  <c r="C47" i="1"/>
  <c r="C46" i="4"/>
  <c r="AF46" i="1" l="1"/>
  <c r="K45" i="4"/>
  <c r="G45" i="17"/>
  <c r="E45" i="17"/>
  <c r="AK46" i="1"/>
  <c r="J53" i="1"/>
  <c r="E52" i="4"/>
  <c r="I51" i="4"/>
  <c r="Y52" i="1"/>
  <c r="C47" i="4"/>
  <c r="C48" i="1"/>
  <c r="I55" i="17"/>
  <c r="P56" i="7"/>
  <c r="Q47" i="1"/>
  <c r="G46" i="4"/>
  <c r="K46" i="4" l="1"/>
  <c r="G46" i="17"/>
  <c r="AF47" i="1"/>
  <c r="C49" i="1"/>
  <c r="C48" i="4"/>
  <c r="E53" i="4"/>
  <c r="J54" i="1"/>
  <c r="Q48" i="1"/>
  <c r="G47" i="4"/>
  <c r="P57" i="7"/>
  <c r="I56" i="17"/>
  <c r="I52" i="4"/>
  <c r="Y53" i="1"/>
  <c r="E46" i="17"/>
  <c r="AK47" i="1"/>
  <c r="AF48" i="1" l="1"/>
  <c r="K47" i="4"/>
  <c r="G47" i="17"/>
  <c r="E54" i="4"/>
  <c r="J55" i="1"/>
  <c r="AK48" i="1"/>
  <c r="E47" i="17"/>
  <c r="P58" i="7"/>
  <c r="I57" i="17"/>
  <c r="Y54" i="1"/>
  <c r="I53" i="4"/>
  <c r="G48" i="4"/>
  <c r="Q49" i="1"/>
  <c r="C49" i="4"/>
  <c r="C50" i="1"/>
  <c r="K48" i="4" l="1"/>
  <c r="G48" i="17"/>
  <c r="AF49" i="1"/>
  <c r="I58" i="17"/>
  <c r="P59" i="7"/>
  <c r="C51" i="1"/>
  <c r="C50" i="4"/>
  <c r="AK49" i="1"/>
  <c r="E48" i="17"/>
  <c r="I54" i="4"/>
  <c r="Y55" i="1"/>
  <c r="E55" i="4"/>
  <c r="J56" i="1"/>
  <c r="Q50" i="1"/>
  <c r="G49" i="4"/>
  <c r="G49" i="17" l="1"/>
  <c r="AF50" i="1"/>
  <c r="K49" i="4"/>
  <c r="E49" i="17"/>
  <c r="AK50" i="1"/>
  <c r="I55" i="4"/>
  <c r="Y56" i="1"/>
  <c r="C52" i="1"/>
  <c r="C51" i="4"/>
  <c r="Q51" i="1"/>
  <c r="G50" i="4"/>
  <c r="I59" i="17"/>
  <c r="P60" i="7"/>
  <c r="E56" i="4"/>
  <c r="J57" i="1"/>
  <c r="G50" i="17" l="1"/>
  <c r="AF51" i="1"/>
  <c r="K50" i="4"/>
  <c r="J58" i="1"/>
  <c r="E57" i="4"/>
  <c r="C53" i="1"/>
  <c r="C52" i="4"/>
  <c r="Q52" i="1"/>
  <c r="G51" i="4"/>
  <c r="E50" i="17"/>
  <c r="AK51" i="1"/>
  <c r="I56" i="4"/>
  <c r="Y57" i="1"/>
  <c r="I60" i="17"/>
  <c r="P61" i="7"/>
  <c r="P62" i="7" s="1"/>
  <c r="K51" i="4" l="1"/>
  <c r="G51" i="17"/>
  <c r="AF52" i="1"/>
  <c r="I61" i="17"/>
  <c r="P63" i="7"/>
  <c r="AK52" i="1"/>
  <c r="E51" i="17"/>
  <c r="C54" i="1"/>
  <c r="C53" i="4"/>
  <c r="Y58" i="1"/>
  <c r="I57" i="4"/>
  <c r="Q53" i="1"/>
  <c r="G52" i="4"/>
  <c r="E58" i="4"/>
  <c r="J59" i="1"/>
  <c r="K52" i="4" l="1"/>
  <c r="AF53" i="1"/>
  <c r="G52" i="17"/>
  <c r="E59" i="4"/>
  <c r="J60" i="1"/>
  <c r="I63" i="17"/>
  <c r="I62" i="17"/>
  <c r="G53" i="4"/>
  <c r="Q54" i="1"/>
  <c r="I58" i="4"/>
  <c r="Y59" i="1"/>
  <c r="E52" i="17"/>
  <c r="AK53" i="1"/>
  <c r="C54" i="4"/>
  <c r="C55" i="1"/>
  <c r="AF54" i="1" l="1"/>
  <c r="G53" i="17"/>
  <c r="K53" i="4"/>
  <c r="Y60" i="1"/>
  <c r="I59" i="4"/>
  <c r="AK54" i="1"/>
  <c r="E53" i="17"/>
  <c r="E60" i="4"/>
  <c r="J61" i="1"/>
  <c r="C56" i="1"/>
  <c r="C55" i="4"/>
  <c r="G54" i="4"/>
  <c r="Q55" i="1"/>
  <c r="G54" i="17" l="1"/>
  <c r="K54" i="4"/>
  <c r="AF55" i="1"/>
  <c r="Y61" i="1"/>
  <c r="I60" i="4"/>
  <c r="C56" i="4"/>
  <c r="C57" i="1"/>
  <c r="AK55" i="1"/>
  <c r="E54" i="17"/>
  <c r="Q56" i="1"/>
  <c r="G55" i="4"/>
  <c r="J62" i="1"/>
  <c r="E61" i="4"/>
  <c r="AF56" i="1" l="1"/>
  <c r="K55" i="4"/>
  <c r="G55" i="17"/>
  <c r="E62" i="4"/>
  <c r="J63" i="1"/>
  <c r="E63" i="4" s="1"/>
  <c r="AK56" i="1"/>
  <c r="E55" i="17"/>
  <c r="C58" i="1"/>
  <c r="C57" i="4"/>
  <c r="G56" i="4"/>
  <c r="Q57" i="1"/>
  <c r="Y62" i="1"/>
  <c r="I61" i="4"/>
  <c r="AF57" i="1" l="1"/>
  <c r="G56" i="17"/>
  <c r="K56" i="4"/>
  <c r="C58" i="4"/>
  <c r="C59" i="1"/>
  <c r="AK57" i="1"/>
  <c r="E56" i="17"/>
  <c r="Y63" i="1"/>
  <c r="I63" i="4" s="1"/>
  <c r="I62" i="4"/>
  <c r="G57" i="4"/>
  <c r="Q58" i="1"/>
  <c r="AF58" i="1" l="1"/>
  <c r="G57" i="17"/>
  <c r="K57" i="4"/>
  <c r="E57" i="17"/>
  <c r="AK58" i="1"/>
  <c r="G58" i="4"/>
  <c r="Q59" i="1"/>
  <c r="C59" i="4"/>
  <c r="C60" i="1"/>
  <c r="AF59" i="1" l="1"/>
  <c r="G58" i="17"/>
  <c r="K58" i="4"/>
  <c r="AK59" i="1"/>
  <c r="E58" i="17"/>
  <c r="G59" i="4"/>
  <c r="Q60" i="1"/>
  <c r="C61" i="1"/>
  <c r="C60" i="4"/>
  <c r="AF60" i="1" l="1"/>
  <c r="G59" i="17"/>
  <c r="K59" i="4"/>
  <c r="Q61" i="1"/>
  <c r="G60" i="4"/>
  <c r="C61" i="4"/>
  <c r="C62" i="1"/>
  <c r="E59" i="17"/>
  <c r="AK60" i="1"/>
  <c r="G60" i="17" l="1"/>
  <c r="K60" i="4"/>
  <c r="AF61" i="1"/>
  <c r="G61" i="4"/>
  <c r="Q62" i="1"/>
  <c r="C62" i="4"/>
  <c r="C63" i="1"/>
  <c r="C63" i="4" s="1"/>
  <c r="E60" i="17"/>
  <c r="AK61" i="1"/>
  <c r="K61" i="4" l="1"/>
  <c r="AF62" i="1"/>
  <c r="G61" i="17"/>
  <c r="Q63" i="1"/>
  <c r="G63" i="4" s="1"/>
  <c r="G62" i="4"/>
  <c r="E61" i="17"/>
  <c r="AK62" i="1"/>
  <c r="K62" i="4" l="1"/>
  <c r="AF63" i="1"/>
  <c r="G62" i="17"/>
  <c r="AK63" i="1"/>
  <c r="E63" i="17" s="1"/>
  <c r="E62" i="17"/>
  <c r="K63" i="4" l="1"/>
  <c r="G63" i="17"/>
</calcChain>
</file>

<file path=xl/sharedStrings.xml><?xml version="1.0" encoding="utf-8"?>
<sst xmlns="http://schemas.openxmlformats.org/spreadsheetml/2006/main" count="392" uniqueCount="98">
  <si>
    <t>Per år</t>
  </si>
  <si>
    <t>Totalt</t>
  </si>
  <si>
    <t>LD</t>
  </si>
  <si>
    <t>LD tot</t>
  </si>
  <si>
    <t>Stockholm</t>
  </si>
  <si>
    <t>Uppsala</t>
  </si>
  <si>
    <t>Göteborg</t>
  </si>
  <si>
    <t>Malmö</t>
  </si>
  <si>
    <t>Sverige</t>
  </si>
  <si>
    <t>År</t>
  </si>
  <si>
    <t>Domino</t>
  </si>
  <si>
    <t>Domino tot</t>
  </si>
  <si>
    <t>Lund</t>
  </si>
  <si>
    <t>SL tot</t>
  </si>
  <si>
    <t>DL tot</t>
  </si>
  <si>
    <t>Pancreas</t>
  </si>
  <si>
    <t>P-öar</t>
  </si>
  <si>
    <t>Hjärta</t>
  </si>
  <si>
    <t>Hjärt-Lung</t>
  </si>
  <si>
    <t>Tarm</t>
  </si>
  <si>
    <t>4*</t>
  </si>
  <si>
    <t>5*</t>
  </si>
  <si>
    <t>Svensk Transplantationsförening</t>
  </si>
  <si>
    <t>Transplantationsregister</t>
  </si>
  <si>
    <t>Transplantationskoordinator</t>
  </si>
  <si>
    <t>Antal invånare i respektive region</t>
  </si>
  <si>
    <t>milj inv</t>
  </si>
  <si>
    <t>SVERIGE</t>
  </si>
  <si>
    <t>Danmark</t>
  </si>
  <si>
    <t>Finland</t>
  </si>
  <si>
    <t>Norge</t>
  </si>
  <si>
    <t>Island</t>
  </si>
  <si>
    <t>inv</t>
  </si>
  <si>
    <t>* f.o.m. 2001 övergick Södermanland från Stockholm till Uppsala</t>
  </si>
  <si>
    <r>
      <t>*)</t>
    </r>
    <r>
      <rPr>
        <sz val="10"/>
        <rFont val="Arial"/>
        <family val="2"/>
      </rPr>
      <t xml:space="preserve"> Donatorer fr. Island (ej inräknade i totalsumman)</t>
    </r>
  </si>
  <si>
    <t>Uppsala *</t>
  </si>
  <si>
    <t>AD tot</t>
  </si>
  <si>
    <t>3*</t>
  </si>
  <si>
    <t>2*</t>
  </si>
  <si>
    <r>
      <t xml:space="preserve">2014 </t>
    </r>
    <r>
      <rPr>
        <b/>
        <sz val="10"/>
        <color indexed="10"/>
        <rFont val="Arial"/>
        <family val="2"/>
      </rPr>
      <t>*)</t>
    </r>
  </si>
  <si>
    <t>*) Fram till 2013 räknas endast första transplantationen/patient, därefter räknas alla ö-cellstransplantationer</t>
  </si>
  <si>
    <t>12*</t>
  </si>
  <si>
    <t>8*</t>
  </si>
  <si>
    <t>6*</t>
  </si>
  <si>
    <t>AD DBD</t>
  </si>
  <si>
    <t>AD DCD</t>
  </si>
  <si>
    <t>DCD per år</t>
  </si>
  <si>
    <t>DBD per år</t>
  </si>
  <si>
    <t>Singel DBD</t>
  </si>
  <si>
    <t>Dubbel DBD</t>
  </si>
  <si>
    <t>DCD S+D</t>
  </si>
  <si>
    <t>DCD tot</t>
  </si>
  <si>
    <r>
      <rPr>
        <b/>
        <sz val="11"/>
        <rFont val="Arial"/>
        <family val="2"/>
      </rPr>
      <t>Njurdonator</t>
    </r>
    <r>
      <rPr>
        <b/>
        <sz val="12"/>
        <rFont val="Arial"/>
        <family val="2"/>
      </rPr>
      <t xml:space="preserve">  </t>
    </r>
    <r>
      <rPr>
        <b/>
        <sz val="8"/>
        <rFont val="Arial"/>
        <family val="2"/>
      </rPr>
      <t>(LD)</t>
    </r>
  </si>
  <si>
    <r>
      <rPr>
        <b/>
        <sz val="11"/>
        <rFont val="Arial"/>
        <family val="2"/>
      </rPr>
      <t xml:space="preserve">Donator      </t>
    </r>
    <r>
      <rPr>
        <b/>
        <sz val="12"/>
        <rFont val="Arial"/>
        <family val="2"/>
      </rPr>
      <t xml:space="preserve"> </t>
    </r>
    <r>
      <rPr>
        <b/>
        <sz val="8"/>
        <rFont val="Arial"/>
        <family val="2"/>
      </rPr>
      <t>(DBD+DCD)</t>
    </r>
  </si>
  <si>
    <r>
      <rPr>
        <b/>
        <sz val="11"/>
        <rFont val="Arial"/>
        <family val="2"/>
      </rPr>
      <t>Njure</t>
    </r>
    <r>
      <rPr>
        <b/>
        <sz val="12"/>
        <rFont val="Arial"/>
        <family val="2"/>
      </rPr>
      <t xml:space="preserve"> </t>
    </r>
    <r>
      <rPr>
        <b/>
        <sz val="8"/>
        <rFont val="Arial"/>
        <family val="2"/>
      </rPr>
      <t>(DBD+DCD+LD)</t>
    </r>
  </si>
  <si>
    <r>
      <t xml:space="preserve">Lungor </t>
    </r>
    <r>
      <rPr>
        <b/>
        <sz val="8"/>
        <rFont val="Arial"/>
        <family val="2"/>
      </rPr>
      <t>(DBD+DCD)</t>
    </r>
  </si>
  <si>
    <t>PMI</t>
  </si>
  <si>
    <t>Per         10 000 avl.</t>
  </si>
  <si>
    <t>10*</t>
  </si>
  <si>
    <t>Estonia</t>
  </si>
  <si>
    <t>7*</t>
  </si>
  <si>
    <r>
      <t xml:space="preserve">Lever  </t>
    </r>
    <r>
      <rPr>
        <b/>
        <sz val="8"/>
        <rFont val="Arial"/>
        <family val="2"/>
      </rPr>
      <t>(DBD+DCD+LD)</t>
    </r>
  </si>
  <si>
    <t>Regionindelning - Län</t>
  </si>
  <si>
    <t>Gotland</t>
  </si>
  <si>
    <t>Stockholm-Gotland:</t>
  </si>
  <si>
    <t>Uppsala-Örebro:</t>
  </si>
  <si>
    <t>Södermanland</t>
  </si>
  <si>
    <t>Värmland</t>
  </si>
  <si>
    <t>Örebro</t>
  </si>
  <si>
    <t>Västmanland</t>
  </si>
  <si>
    <t>Dalarna</t>
  </si>
  <si>
    <t>Gävleborg</t>
  </si>
  <si>
    <t>Västra Götaland - Göteborg</t>
  </si>
  <si>
    <t>Östergötland</t>
  </si>
  <si>
    <t>Jönköping</t>
  </si>
  <si>
    <t>Kronoberg</t>
  </si>
  <si>
    <t>Kalmar</t>
  </si>
  <si>
    <t>Västernorrland</t>
  </si>
  <si>
    <t>Jämtland</t>
  </si>
  <si>
    <t>Västerbotten</t>
  </si>
  <si>
    <t>Norrbotten</t>
  </si>
  <si>
    <t>Södra Regionen - Malmö</t>
  </si>
  <si>
    <t>Bleking</t>
  </si>
  <si>
    <t>Skåne - Malmö</t>
  </si>
  <si>
    <t>Halland - delat med Skåne</t>
  </si>
  <si>
    <t>Halland - delat med Västra Götaland</t>
  </si>
  <si>
    <t>11*</t>
  </si>
  <si>
    <t>1964 - 2024</t>
  </si>
  <si>
    <t>Kristin Persson</t>
  </si>
  <si>
    <t>Sahlgrenska universitetssjukhuset</t>
  </si>
  <si>
    <t>kristin.persson@vgregion.se</t>
  </si>
  <si>
    <t>DCD  SD</t>
  </si>
  <si>
    <t>DCD SD/år</t>
  </si>
  <si>
    <t>DCD  SD/år</t>
  </si>
  <si>
    <t>DCD   SD/år</t>
  </si>
  <si>
    <t>PancreasDBD</t>
  </si>
  <si>
    <t>Pankreas DCD</t>
  </si>
  <si>
    <t>Pankreas DBD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</si>
</sst>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sz val="16"/>
      <color indexed="21"/>
      <name val="Verdana"/>
      <family val="2"/>
    </font>
    <font>
      <sz val="22"/>
      <color indexed="21"/>
      <name val="Verdana"/>
      <family val="2"/>
    </font>
    <font>
      <sz val="18"/>
      <color indexed="21"/>
      <name val="Verdana"/>
      <family val="2"/>
    </font>
    <font>
      <sz val="10"/>
      <color indexed="21"/>
      <name val="Verdana"/>
      <family val="2"/>
    </font>
    <font>
      <b/>
      <sz val="8"/>
      <color indexed="21"/>
      <name val="Verdana"/>
      <family val="2"/>
    </font>
    <font>
      <sz val="14"/>
      <color indexed="21"/>
      <name val="Verdana"/>
      <family val="2"/>
    </font>
    <font>
      <u/>
      <sz val="16"/>
      <color indexed="21"/>
      <name val="Verdana"/>
      <family val="2"/>
    </font>
    <font>
      <b/>
      <sz val="16"/>
      <color indexed="21"/>
      <name val="Verdana"/>
      <family val="2"/>
    </font>
    <font>
      <b/>
      <sz val="14"/>
      <color indexed="21"/>
      <name val="Verdana"/>
      <family val="2"/>
    </font>
    <font>
      <b/>
      <sz val="10"/>
      <color indexed="21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name val="Verdana"/>
      <family val="2"/>
    </font>
    <font>
      <b/>
      <sz val="10"/>
      <color indexed="8"/>
      <name val="Arial"/>
      <family val="2"/>
    </font>
    <font>
      <b/>
      <i/>
      <sz val="12"/>
      <color indexed="10"/>
      <name val="Verdana"/>
      <family val="2"/>
    </font>
    <font>
      <b/>
      <sz val="36"/>
      <color indexed="21"/>
      <name val="Verdana"/>
      <family val="2"/>
    </font>
    <font>
      <sz val="10"/>
      <color indexed="8"/>
      <name val="Arial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9"/>
      <name val="Arial"/>
      <family val="2"/>
    </font>
    <font>
      <b/>
      <sz val="11"/>
      <name val="Arial"/>
      <family val="2"/>
    </font>
    <font>
      <sz val="16"/>
      <name val="Verdana"/>
      <family val="2"/>
    </font>
    <font>
      <u/>
      <sz val="12"/>
      <name val="Verdana"/>
      <family val="2"/>
    </font>
    <font>
      <b/>
      <sz val="12"/>
      <name val="Verdana"/>
      <family val="2"/>
    </font>
    <font>
      <b/>
      <u/>
      <sz val="14"/>
      <name val="Verdana"/>
      <family val="2"/>
    </font>
    <font>
      <sz val="14"/>
      <name val="Verdana"/>
      <family val="2"/>
    </font>
    <font>
      <b/>
      <sz val="16"/>
      <color rgb="FFFF0000"/>
      <name val="Verdana"/>
      <family val="2"/>
    </font>
    <font>
      <sz val="12"/>
      <color rgb="FF000000"/>
      <name val="Verdana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28"/>
      <color rgb="FF008080"/>
      <name val="Verdana"/>
      <family val="2"/>
    </font>
    <font>
      <sz val="16"/>
      <color rgb="FF008080"/>
      <name val="Verdana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008080"/>
      <name val="Verdana"/>
      <family val="2"/>
    </font>
    <font>
      <sz val="10"/>
      <color rgb="FF008080"/>
      <name val="Verdana"/>
      <family val="2"/>
    </font>
    <font>
      <sz val="9"/>
      <color rgb="FF008080"/>
      <name val="Verdana"/>
      <family val="2"/>
    </font>
    <font>
      <u/>
      <sz val="28"/>
      <color rgb="FF008080"/>
      <name val="Verdana"/>
      <family val="2"/>
    </font>
    <font>
      <u/>
      <sz val="16"/>
      <color rgb="FF008080"/>
      <name val="Verdana"/>
      <family val="2"/>
    </font>
    <font>
      <b/>
      <sz val="14"/>
      <color rgb="FFFF0000"/>
      <name val="Verdana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21"/>
      </top>
      <bottom/>
      <diagonal/>
    </border>
    <border>
      <left/>
      <right style="double">
        <color indexed="21"/>
      </right>
      <top style="double">
        <color indexed="21"/>
      </top>
      <bottom/>
      <diagonal/>
    </border>
    <border>
      <left style="double">
        <color indexed="21"/>
      </left>
      <right/>
      <top/>
      <bottom style="double">
        <color indexed="21"/>
      </bottom>
      <diagonal/>
    </border>
    <border>
      <left/>
      <right/>
      <top/>
      <bottom style="double">
        <color indexed="21"/>
      </bottom>
      <diagonal/>
    </border>
    <border>
      <left/>
      <right style="double">
        <color indexed="21"/>
      </right>
      <top/>
      <bottom style="double">
        <color indexed="21"/>
      </bottom>
      <diagonal/>
    </border>
    <border>
      <left/>
      <right style="double">
        <color indexed="21"/>
      </right>
      <top style="double">
        <color indexed="21"/>
      </top>
      <bottom style="double">
        <color indexed="21"/>
      </bottom>
      <diagonal/>
    </border>
    <border>
      <left style="double">
        <color indexed="21"/>
      </left>
      <right/>
      <top style="double">
        <color indexed="21"/>
      </top>
      <bottom/>
      <diagonal/>
    </border>
    <border>
      <left style="double">
        <color indexed="21"/>
      </left>
      <right/>
      <top style="double">
        <color indexed="21"/>
      </top>
      <bottom style="double">
        <color indexed="21"/>
      </bottom>
      <diagonal/>
    </border>
    <border>
      <left/>
      <right/>
      <top style="double">
        <color indexed="21"/>
      </top>
      <bottom style="double">
        <color indexed="2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44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/>
    <xf numFmtId="3" fontId="0" fillId="0" borderId="4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0" fillId="0" borderId="0" xfId="0" applyNumberFormat="1"/>
    <xf numFmtId="3" fontId="0" fillId="0" borderId="8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0" fillId="0" borderId="12" xfId="0" applyNumberFormat="1" applyBorder="1" applyAlignment="1">
      <alignment horizontal="right"/>
    </xf>
    <xf numFmtId="0" fontId="0" fillId="0" borderId="4" xfId="0" applyBorder="1"/>
    <xf numFmtId="0" fontId="0" fillId="0" borderId="8" xfId="0" applyBorder="1"/>
    <xf numFmtId="3" fontId="0" fillId="0" borderId="13" xfId="0" applyNumberFormat="1" applyBorder="1" applyAlignment="1">
      <alignment horizontal="right"/>
    </xf>
    <xf numFmtId="0" fontId="2" fillId="2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3" fontId="0" fillId="0" borderId="7" xfId="0" applyNumberFormat="1" applyBorder="1"/>
    <xf numFmtId="0" fontId="0" fillId="0" borderId="7" xfId="0" applyBorder="1"/>
    <xf numFmtId="3" fontId="0" fillId="0" borderId="10" xfId="0" applyNumberFormat="1" applyBorder="1"/>
    <xf numFmtId="0" fontId="0" fillId="0" borderId="10" xfId="0" applyBorder="1"/>
    <xf numFmtId="0" fontId="0" fillId="0" borderId="6" xfId="0" applyBorder="1"/>
    <xf numFmtId="0" fontId="0" fillId="0" borderId="9" xfId="0" applyBorder="1"/>
    <xf numFmtId="0" fontId="0" fillId="0" borderId="16" xfId="0" applyBorder="1"/>
    <xf numFmtId="0" fontId="0" fillId="0" borderId="17" xfId="0" applyBorder="1"/>
    <xf numFmtId="3" fontId="0" fillId="0" borderId="18" xfId="0" applyNumberFormat="1" applyBorder="1" applyAlignment="1">
      <alignment horizontal="right"/>
    </xf>
    <xf numFmtId="3" fontId="0" fillId="0" borderId="19" xfId="0" applyNumberFormat="1" applyBorder="1" applyAlignment="1">
      <alignment horizontal="right"/>
    </xf>
    <xf numFmtId="3" fontId="0" fillId="0" borderId="17" xfId="0" applyNumberFormat="1" applyBorder="1" applyAlignment="1">
      <alignment horizontal="right"/>
    </xf>
    <xf numFmtId="0" fontId="1" fillId="0" borderId="20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right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6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7" xfId="0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4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0" fontId="0" fillId="0" borderId="0" xfId="0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wrapText="1"/>
    </xf>
    <xf numFmtId="3" fontId="0" fillId="0" borderId="26" xfId="0" applyNumberForma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0" fillId="0" borderId="0" xfId="0" applyNumberFormat="1" applyBorder="1"/>
    <xf numFmtId="0" fontId="0" fillId="0" borderId="25" xfId="0" applyBorder="1"/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3" fontId="0" fillId="0" borderId="6" xfId="0" applyNumberFormat="1" applyBorder="1"/>
    <xf numFmtId="3" fontId="0" fillId="0" borderId="9" xfId="0" applyNumberFormat="1" applyBorder="1"/>
    <xf numFmtId="0" fontId="1" fillId="0" borderId="32" xfId="0" applyFont="1" applyBorder="1" applyAlignment="1">
      <alignment horizontal="center" vertical="center" wrapText="1"/>
    </xf>
    <xf numFmtId="0" fontId="7" fillId="0" borderId="0" xfId="0" applyFont="1"/>
    <xf numFmtId="0" fontId="7" fillId="0" borderId="33" xfId="0" applyFont="1" applyFill="1" applyBorder="1"/>
    <xf numFmtId="0" fontId="7" fillId="0" borderId="34" xfId="0" applyFont="1" applyFill="1" applyBorder="1"/>
    <xf numFmtId="0" fontId="7" fillId="0" borderId="0" xfId="0" applyFont="1" applyFill="1"/>
    <xf numFmtId="0" fontId="8" fillId="0" borderId="35" xfId="0" applyFont="1" applyFill="1" applyBorder="1"/>
    <xf numFmtId="0" fontId="7" fillId="0" borderId="36" xfId="0" applyFont="1" applyFill="1" applyBorder="1"/>
    <xf numFmtId="0" fontId="7" fillId="0" borderId="37" xfId="0" applyFont="1" applyFill="1" applyBorder="1"/>
    <xf numFmtId="0" fontId="10" fillId="0" borderId="0" xfId="0" applyFont="1"/>
    <xf numFmtId="0" fontId="11" fillId="0" borderId="0" xfId="0" applyFont="1"/>
    <xf numFmtId="0" fontId="7" fillId="0" borderId="0" xfId="0" applyFont="1" applyBorder="1"/>
    <xf numFmtId="0" fontId="7" fillId="0" borderId="38" xfId="0" applyFont="1" applyFill="1" applyBorder="1"/>
    <xf numFmtId="0" fontId="7" fillId="0" borderId="0" xfId="0" applyFont="1" applyFill="1" applyBorder="1"/>
    <xf numFmtId="49" fontId="12" fillId="0" borderId="0" xfId="0" applyNumberFormat="1" applyFont="1"/>
    <xf numFmtId="49" fontId="13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2" fillId="0" borderId="0" xfId="0" applyFont="1"/>
    <xf numFmtId="0" fontId="14" fillId="0" borderId="0" xfId="0" applyFont="1"/>
    <xf numFmtId="164" fontId="14" fillId="0" borderId="0" xfId="0" applyNumberFormat="1" applyFont="1" applyAlignment="1">
      <alignment horizontal="center"/>
    </xf>
    <xf numFmtId="0" fontId="15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Border="1"/>
    <xf numFmtId="3" fontId="7" fillId="0" borderId="0" xfId="0" applyNumberFormat="1" applyFont="1" applyAlignment="1">
      <alignment horizontal="right"/>
    </xf>
    <xf numFmtId="0" fontId="1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18" fillId="0" borderId="6" xfId="0" applyNumberFormat="1" applyFont="1" applyBorder="1" applyAlignment="1">
      <alignment horizontal="center"/>
    </xf>
    <xf numFmtId="3" fontId="18" fillId="0" borderId="18" xfId="0" applyNumberFormat="1" applyFont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3" fontId="17" fillId="0" borderId="16" xfId="0" applyNumberFormat="1" applyFont="1" applyBorder="1" applyAlignment="1">
      <alignment horizontal="center"/>
    </xf>
    <xf numFmtId="3" fontId="0" fillId="0" borderId="18" xfId="0" applyNumberFormat="1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3" fontId="19" fillId="0" borderId="7" xfId="0" applyNumberFormat="1" applyFont="1" applyBorder="1" applyAlignment="1">
      <alignment horizontal="center"/>
    </xf>
    <xf numFmtId="3" fontId="18" fillId="0" borderId="7" xfId="0" applyNumberFormat="1" applyFont="1" applyBorder="1" applyAlignment="1">
      <alignment horizontal="center"/>
    </xf>
    <xf numFmtId="3" fontId="17" fillId="0" borderId="6" xfId="0" applyNumberFormat="1" applyFont="1" applyBorder="1" applyAlignment="1">
      <alignment horizontal="center"/>
    </xf>
    <xf numFmtId="0" fontId="0" fillId="0" borderId="0" xfId="0" applyAlignment="1"/>
    <xf numFmtId="0" fontId="18" fillId="0" borderId="7" xfId="0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3" fontId="18" fillId="0" borderId="7" xfId="0" applyNumberFormat="1" applyFont="1" applyFill="1" applyBorder="1" applyAlignment="1">
      <alignment horizontal="center"/>
    </xf>
    <xf numFmtId="3" fontId="17" fillId="0" borderId="7" xfId="0" applyNumberFormat="1" applyFont="1" applyBorder="1" applyAlignment="1">
      <alignment horizontal="center"/>
    </xf>
    <xf numFmtId="1" fontId="0" fillId="0" borderId="0" xfId="0" applyNumberFormat="1"/>
    <xf numFmtId="0" fontId="21" fillId="0" borderId="0" xfId="0" applyFont="1"/>
    <xf numFmtId="164" fontId="7" fillId="0" borderId="0" xfId="0" applyNumberFormat="1" applyFont="1" applyAlignment="1">
      <alignment horizontal="center"/>
    </xf>
    <xf numFmtId="3" fontId="0" fillId="0" borderId="16" xfId="0" applyNumberFormat="1" applyFill="1" applyBorder="1" applyAlignment="1">
      <alignment horizontal="center"/>
    </xf>
    <xf numFmtId="0" fontId="10" fillId="0" borderId="0" xfId="0" applyFont="1" applyBorder="1"/>
    <xf numFmtId="0" fontId="22" fillId="0" borderId="39" xfId="0" applyFont="1" applyFill="1" applyBorder="1"/>
    <xf numFmtId="3" fontId="17" fillId="0" borderId="7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3" fontId="20" fillId="0" borderId="18" xfId="0" applyNumberFormat="1" applyFont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3" fontId="23" fillId="0" borderId="6" xfId="0" applyNumberFormat="1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3" fontId="18" fillId="0" borderId="6" xfId="0" applyNumberFormat="1" applyFont="1" applyFill="1" applyBorder="1" applyAlignment="1">
      <alignment horizontal="center"/>
    </xf>
    <xf numFmtId="0" fontId="18" fillId="0" borderId="0" xfId="0" applyFont="1"/>
    <xf numFmtId="0" fontId="20" fillId="0" borderId="6" xfId="0" applyFont="1" applyBorder="1" applyAlignment="1">
      <alignment horizontal="center"/>
    </xf>
    <xf numFmtId="3" fontId="18" fillId="0" borderId="16" xfId="0" applyNumberFormat="1" applyFont="1" applyBorder="1" applyAlignment="1">
      <alignment horizontal="center"/>
    </xf>
    <xf numFmtId="3" fontId="18" fillId="0" borderId="16" xfId="0" applyNumberFormat="1" applyFont="1" applyFill="1" applyBorder="1" applyAlignment="1">
      <alignment horizontal="center"/>
    </xf>
    <xf numFmtId="0" fontId="18" fillId="0" borderId="16" xfId="0" applyFont="1" applyFill="1" applyBorder="1" applyAlignment="1">
      <alignment horizontal="center"/>
    </xf>
    <xf numFmtId="3" fontId="18" fillId="0" borderId="4" xfId="0" applyNumberFormat="1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3" fontId="18" fillId="0" borderId="4" xfId="0" applyNumberFormat="1" applyFont="1" applyFill="1" applyBorder="1" applyAlignment="1">
      <alignment horizontal="center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3" fontId="18" fillId="0" borderId="18" xfId="0" applyNumberFormat="1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20" fillId="0" borderId="0" xfId="0" applyFont="1" applyAlignment="1">
      <alignment horizontal="center"/>
    </xf>
    <xf numFmtId="3" fontId="17" fillId="0" borderId="4" xfId="0" applyNumberFormat="1" applyFont="1" applyBorder="1" applyAlignment="1">
      <alignment horizontal="center"/>
    </xf>
    <xf numFmtId="3" fontId="17" fillId="0" borderId="18" xfId="0" applyNumberFormat="1" applyFont="1" applyBorder="1" applyAlignment="1">
      <alignment horizontal="center"/>
    </xf>
    <xf numFmtId="3" fontId="17" fillId="0" borderId="4" xfId="0" applyNumberFormat="1" applyFont="1" applyFill="1" applyBorder="1" applyAlignment="1">
      <alignment horizontal="center"/>
    </xf>
    <xf numFmtId="3" fontId="17" fillId="0" borderId="6" xfId="0" applyNumberFormat="1" applyFont="1" applyFill="1" applyBorder="1" applyAlignment="1">
      <alignment horizontal="center"/>
    </xf>
    <xf numFmtId="3" fontId="20" fillId="0" borderId="4" xfId="0" applyNumberFormat="1" applyFont="1" applyBorder="1" applyAlignment="1">
      <alignment horizontal="center"/>
    </xf>
    <xf numFmtId="3" fontId="20" fillId="0" borderId="16" xfId="0" applyNumberFormat="1" applyFont="1" applyBorder="1" applyAlignment="1">
      <alignment horizontal="center"/>
    </xf>
    <xf numFmtId="3" fontId="20" fillId="0" borderId="6" xfId="0" applyNumberFormat="1" applyFont="1" applyBorder="1" applyAlignment="1">
      <alignment horizontal="center"/>
    </xf>
    <xf numFmtId="3" fontId="20" fillId="0" borderId="7" xfId="0" applyNumberFormat="1" applyFont="1" applyBorder="1" applyAlignment="1">
      <alignment horizontal="center"/>
    </xf>
    <xf numFmtId="3" fontId="20" fillId="0" borderId="6" xfId="0" applyNumberFormat="1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3" fontId="20" fillId="0" borderId="7" xfId="0" applyNumberFormat="1" applyFont="1" applyFill="1" applyBorder="1" applyAlignment="1">
      <alignment horizontal="center"/>
    </xf>
    <xf numFmtId="3" fontId="20" fillId="0" borderId="4" xfId="0" applyNumberFormat="1" applyFont="1" applyFill="1" applyBorder="1" applyAlignment="1">
      <alignment horizontal="center"/>
    </xf>
    <xf numFmtId="3" fontId="20" fillId="0" borderId="18" xfId="0" applyNumberFormat="1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33" fillId="0" borderId="0" xfId="0" applyFont="1"/>
    <xf numFmtId="3" fontId="20" fillId="0" borderId="0" xfId="0" applyNumberFormat="1" applyFont="1" applyFill="1" applyBorder="1" applyAlignment="1">
      <alignment horizontal="center"/>
    </xf>
    <xf numFmtId="3" fontId="20" fillId="0" borderId="16" xfId="0" applyNumberFormat="1" applyFont="1" applyFill="1" applyBorder="1" applyAlignment="1">
      <alignment horizontal="center"/>
    </xf>
    <xf numFmtId="0" fontId="20" fillId="0" borderId="0" xfId="0" applyFont="1" applyFill="1"/>
    <xf numFmtId="3" fontId="1" fillId="0" borderId="16" xfId="0" applyNumberFormat="1" applyFont="1" applyFill="1" applyBorder="1" applyAlignment="1">
      <alignment horizontal="center"/>
    </xf>
    <xf numFmtId="0" fontId="20" fillId="0" borderId="23" xfId="0" applyFont="1" applyFill="1" applyBorder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 applyAlignment="1">
      <alignment horizontal="center"/>
    </xf>
    <xf numFmtId="164" fontId="17" fillId="0" borderId="4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164" fontId="17" fillId="0" borderId="4" xfId="0" applyNumberFormat="1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164" fontId="18" fillId="0" borderId="4" xfId="0" applyNumberFormat="1" applyFont="1" applyBorder="1" applyAlignment="1">
      <alignment horizontal="center"/>
    </xf>
    <xf numFmtId="164" fontId="18" fillId="0" borderId="4" xfId="0" applyNumberFormat="1" applyFont="1" applyFill="1" applyBorder="1" applyAlignment="1">
      <alignment horizontal="center"/>
    </xf>
    <xf numFmtId="0" fontId="18" fillId="0" borderId="0" xfId="0" applyFont="1" applyFill="1"/>
    <xf numFmtId="3" fontId="17" fillId="0" borderId="16" xfId="0" applyNumberFormat="1" applyFont="1" applyFill="1" applyBorder="1" applyAlignment="1">
      <alignment horizontal="center"/>
    </xf>
    <xf numFmtId="0" fontId="18" fillId="0" borderId="23" xfId="0" applyFont="1" applyFill="1" applyBorder="1" applyAlignment="1">
      <alignment horizontal="center"/>
    </xf>
    <xf numFmtId="0" fontId="18" fillId="0" borderId="0" xfId="0" applyFont="1" applyFill="1" applyAlignment="1"/>
    <xf numFmtId="3" fontId="18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1" fillId="0" borderId="6" xfId="0" applyFont="1" applyBorder="1" applyAlignment="1">
      <alignment horizontal="left"/>
    </xf>
    <xf numFmtId="0" fontId="20" fillId="0" borderId="6" xfId="0" applyFont="1" applyBorder="1" applyAlignment="1">
      <alignment horizontal="left"/>
    </xf>
    <xf numFmtId="0" fontId="20" fillId="0" borderId="6" xfId="0" applyFont="1" applyFill="1" applyBorder="1" applyAlignment="1">
      <alignment horizontal="left"/>
    </xf>
    <xf numFmtId="0" fontId="35" fillId="0" borderId="6" xfId="0" applyFont="1" applyFill="1" applyBorder="1" applyAlignment="1">
      <alignment horizontal="left"/>
    </xf>
    <xf numFmtId="0" fontId="1" fillId="0" borderId="9" xfId="0" applyFont="1" applyBorder="1" applyAlignment="1">
      <alignment horizontal="left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6" fillId="0" borderId="6" xfId="0" applyFont="1" applyBorder="1" applyAlignment="1">
      <alignment horizontal="center"/>
    </xf>
    <xf numFmtId="0" fontId="37" fillId="0" borderId="40" xfId="0" applyFont="1" applyFill="1" applyBorder="1"/>
    <xf numFmtId="0" fontId="38" fillId="0" borderId="41" xfId="0" applyFont="1" applyFill="1" applyBorder="1"/>
    <xf numFmtId="0" fontId="17" fillId="0" borderId="0" xfId="0" applyFont="1" applyFill="1" applyAlignment="1">
      <alignment horizontal="center"/>
    </xf>
    <xf numFmtId="3" fontId="17" fillId="0" borderId="18" xfId="0" applyNumberFormat="1" applyFont="1" applyFill="1" applyBorder="1" applyAlignment="1">
      <alignment horizontal="center"/>
    </xf>
    <xf numFmtId="0" fontId="17" fillId="0" borderId="16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3" fontId="17" fillId="0" borderId="0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3" fontId="1" fillId="0" borderId="6" xfId="0" applyNumberFormat="1" applyFont="1" applyBorder="1" applyAlignment="1">
      <alignment horizontal="center"/>
    </xf>
    <xf numFmtId="14" fontId="33" fillId="0" borderId="0" xfId="0" applyNumberFormat="1" applyFont="1"/>
    <xf numFmtId="0" fontId="24" fillId="0" borderId="0" xfId="0" applyFont="1" applyFill="1"/>
    <xf numFmtId="3" fontId="1" fillId="0" borderId="6" xfId="0" applyNumberFormat="1" applyFont="1" applyFill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3" fontId="1" fillId="0" borderId="7" xfId="0" applyNumberFormat="1" applyFont="1" applyFill="1" applyBorder="1" applyAlignment="1">
      <alignment horizontal="center"/>
    </xf>
    <xf numFmtId="0" fontId="17" fillId="0" borderId="0" xfId="0" applyFont="1"/>
    <xf numFmtId="3" fontId="5" fillId="0" borderId="0" xfId="0" applyNumberFormat="1" applyFont="1" applyFill="1" applyBorder="1" applyAlignment="1">
      <alignment horizontal="center"/>
    </xf>
    <xf numFmtId="3" fontId="39" fillId="0" borderId="0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 vertical="center"/>
    </xf>
    <xf numFmtId="3" fontId="0" fillId="0" borderId="43" xfId="0" applyNumberFormat="1" applyBorder="1" applyAlignment="1">
      <alignment horizontal="right"/>
    </xf>
    <xf numFmtId="0" fontId="20" fillId="0" borderId="7" xfId="0" applyFont="1" applyBorder="1" applyAlignment="1">
      <alignment horizontal="center"/>
    </xf>
    <xf numFmtId="0" fontId="26" fillId="0" borderId="2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11" xfId="2" applyFont="1" applyFill="1" applyBorder="1" applyAlignment="1">
      <alignment horizontal="center" vertical="center"/>
    </xf>
    <xf numFmtId="0" fontId="17" fillId="0" borderId="0" xfId="2" applyAlignment="1">
      <alignment vertical="center"/>
    </xf>
    <xf numFmtId="0" fontId="1" fillId="0" borderId="30" xfId="2" applyFont="1" applyBorder="1" applyAlignment="1">
      <alignment horizontal="center" vertical="center" wrapText="1"/>
    </xf>
    <xf numFmtId="0" fontId="1" fillId="0" borderId="27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1" fillId="0" borderId="0" xfId="2" applyFont="1" applyAlignment="1">
      <alignment wrapText="1"/>
    </xf>
    <xf numFmtId="0" fontId="1" fillId="0" borderId="6" xfId="2" applyFont="1" applyBorder="1" applyAlignment="1">
      <alignment horizontal="center"/>
    </xf>
    <xf numFmtId="0" fontId="1" fillId="0" borderId="4" xfId="2" applyFont="1" applyBorder="1" applyAlignment="1">
      <alignment horizontal="center"/>
    </xf>
    <xf numFmtId="3" fontId="17" fillId="0" borderId="7" xfId="2" applyNumberFormat="1" applyBorder="1" applyAlignment="1">
      <alignment horizontal="center"/>
    </xf>
    <xf numFmtId="3" fontId="17" fillId="0" borderId="4" xfId="2" applyNumberFormat="1" applyBorder="1" applyAlignment="1">
      <alignment horizontal="center"/>
    </xf>
    <xf numFmtId="3" fontId="17" fillId="0" borderId="6" xfId="2" applyNumberFormat="1" applyBorder="1" applyAlignment="1">
      <alignment horizontal="center"/>
    </xf>
    <xf numFmtId="3" fontId="17" fillId="0" borderId="16" xfId="2" applyNumberFormat="1" applyBorder="1" applyAlignment="1">
      <alignment horizontal="center"/>
    </xf>
    <xf numFmtId="0" fontId="17" fillId="0" borderId="0" xfId="2"/>
    <xf numFmtId="3" fontId="17" fillId="0" borderId="16" xfId="2" applyNumberFormat="1" applyFont="1" applyBorder="1" applyAlignment="1">
      <alignment horizontal="center"/>
    </xf>
    <xf numFmtId="165" fontId="17" fillId="0" borderId="16" xfId="2" applyNumberFormat="1" applyFont="1" applyBorder="1" applyAlignment="1">
      <alignment horizontal="center"/>
    </xf>
    <xf numFmtId="0" fontId="1" fillId="0" borderId="9" xfId="2" applyFont="1" applyBorder="1" applyAlignment="1">
      <alignment horizontal="center"/>
    </xf>
    <xf numFmtId="0" fontId="1" fillId="0" borderId="8" xfId="2" applyFont="1" applyBorder="1" applyAlignment="1">
      <alignment horizontal="center"/>
    </xf>
    <xf numFmtId="3" fontId="17" fillId="0" borderId="10" xfId="2" applyNumberFormat="1" applyBorder="1" applyAlignment="1">
      <alignment horizontal="center"/>
    </xf>
    <xf numFmtId="3" fontId="17" fillId="0" borderId="8" xfId="2" applyNumberFormat="1" applyBorder="1" applyAlignment="1">
      <alignment horizontal="center"/>
    </xf>
    <xf numFmtId="3" fontId="17" fillId="0" borderId="9" xfId="2" applyNumberFormat="1" applyBorder="1" applyAlignment="1">
      <alignment horizontal="center"/>
    </xf>
    <xf numFmtId="3" fontId="17" fillId="0" borderId="17" xfId="2" applyNumberFormat="1" applyBorder="1" applyAlignment="1">
      <alignment horizontal="center"/>
    </xf>
    <xf numFmtId="165" fontId="17" fillId="0" borderId="17" xfId="2" applyNumberFormat="1" applyFont="1" applyBorder="1" applyAlignment="1">
      <alignment horizontal="center"/>
    </xf>
    <xf numFmtId="164" fontId="17" fillId="0" borderId="4" xfId="2" applyNumberFormat="1" applyFont="1" applyBorder="1" applyAlignment="1">
      <alignment horizontal="center"/>
    </xf>
    <xf numFmtId="164" fontId="17" fillId="0" borderId="7" xfId="2" applyNumberFormat="1" applyFont="1" applyBorder="1" applyAlignment="1">
      <alignment horizontal="center"/>
    </xf>
    <xf numFmtId="164" fontId="17" fillId="0" borderId="6" xfId="2" applyNumberFormat="1" applyFont="1" applyBorder="1" applyAlignment="1">
      <alignment horizontal="center"/>
    </xf>
    <xf numFmtId="164" fontId="17" fillId="0" borderId="16" xfId="2" applyNumberFormat="1" applyFont="1" applyBorder="1" applyAlignment="1">
      <alignment horizontal="center"/>
    </xf>
    <xf numFmtId="0" fontId="17" fillId="0" borderId="0" xfId="2" applyBorder="1"/>
    <xf numFmtId="0" fontId="17" fillId="0" borderId="4" xfId="2" applyFont="1" applyBorder="1" applyAlignment="1">
      <alignment horizontal="center"/>
    </xf>
    <xf numFmtId="164" fontId="17" fillId="0" borderId="7" xfId="2" applyNumberFormat="1" applyFont="1" applyFill="1" applyBorder="1" applyAlignment="1">
      <alignment horizontal="center"/>
    </xf>
    <xf numFmtId="164" fontId="17" fillId="0" borderId="4" xfId="2" applyNumberFormat="1" applyFont="1" applyFill="1" applyBorder="1" applyAlignment="1">
      <alignment horizontal="center"/>
    </xf>
    <xf numFmtId="164" fontId="18" fillId="0" borderId="7" xfId="2" applyNumberFormat="1" applyFont="1" applyFill="1" applyBorder="1" applyAlignment="1">
      <alignment horizontal="center"/>
    </xf>
    <xf numFmtId="164" fontId="18" fillId="0" borderId="16" xfId="2" applyNumberFormat="1" applyFont="1" applyBorder="1" applyAlignment="1">
      <alignment horizontal="center"/>
    </xf>
    <xf numFmtId="1" fontId="17" fillId="0" borderId="0" xfId="2" applyNumberFormat="1"/>
    <xf numFmtId="164" fontId="17" fillId="0" borderId="6" xfId="2" applyNumberFormat="1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20" fillId="0" borderId="6" xfId="2" applyFont="1" applyFill="1" applyBorder="1" applyAlignment="1">
      <alignment horizontal="center"/>
    </xf>
    <xf numFmtId="164" fontId="18" fillId="0" borderId="4" xfId="2" applyNumberFormat="1" applyFont="1" applyBorder="1" applyAlignment="1">
      <alignment horizontal="center"/>
    </xf>
    <xf numFmtId="164" fontId="18" fillId="0" borderId="7" xfId="2" applyNumberFormat="1" applyFont="1" applyBorder="1" applyAlignment="1">
      <alignment horizontal="center"/>
    </xf>
    <xf numFmtId="164" fontId="18" fillId="0" borderId="4" xfId="2" applyNumberFormat="1" applyFont="1" applyFill="1" applyBorder="1" applyAlignment="1">
      <alignment horizontal="center"/>
    </xf>
    <xf numFmtId="164" fontId="18" fillId="0" borderId="6" xfId="2" applyNumberFormat="1" applyFont="1" applyFill="1" applyBorder="1" applyAlignment="1">
      <alignment horizontal="center"/>
    </xf>
    <xf numFmtId="0" fontId="18" fillId="0" borderId="0" xfId="2" applyFont="1"/>
    <xf numFmtId="0" fontId="17" fillId="0" borderId="0" xfId="2" applyFont="1"/>
    <xf numFmtId="164" fontId="1" fillId="0" borderId="4" xfId="2" applyNumberFormat="1" applyFont="1" applyBorder="1" applyAlignment="1">
      <alignment horizontal="center"/>
    </xf>
    <xf numFmtId="164" fontId="1" fillId="0" borderId="4" xfId="2" applyNumberFormat="1" applyFont="1" applyFill="1" applyBorder="1" applyAlignment="1">
      <alignment horizontal="center"/>
    </xf>
    <xf numFmtId="164" fontId="1" fillId="0" borderId="6" xfId="2" applyNumberFormat="1" applyFont="1" applyFill="1" applyBorder="1" applyAlignment="1">
      <alignment horizontal="center"/>
    </xf>
    <xf numFmtId="164" fontId="1" fillId="0" borderId="7" xfId="2" applyNumberFormat="1" applyFont="1" applyFill="1" applyBorder="1" applyAlignment="1">
      <alignment horizontal="center"/>
    </xf>
    <xf numFmtId="3" fontId="17" fillId="0" borderId="7" xfId="2" applyNumberFormat="1" applyBorder="1"/>
    <xf numFmtId="3" fontId="17" fillId="0" borderId="4" xfId="2" applyNumberFormat="1" applyBorder="1" applyAlignment="1">
      <alignment horizontal="right"/>
    </xf>
    <xf numFmtId="3" fontId="17" fillId="0" borderId="7" xfId="2" applyNumberFormat="1" applyBorder="1" applyAlignment="1">
      <alignment horizontal="right"/>
    </xf>
    <xf numFmtId="0" fontId="17" fillId="0" borderId="4" xfId="2" applyBorder="1"/>
    <xf numFmtId="0" fontId="17" fillId="0" borderId="6" xfId="2" applyBorder="1"/>
    <xf numFmtId="0" fontId="17" fillId="0" borderId="16" xfId="2" applyBorder="1"/>
    <xf numFmtId="0" fontId="17" fillId="0" borderId="7" xfId="2" applyBorder="1"/>
    <xf numFmtId="3" fontId="17" fillId="0" borderId="10" xfId="2" applyNumberFormat="1" applyBorder="1"/>
    <xf numFmtId="3" fontId="17" fillId="0" borderId="8" xfId="2" applyNumberFormat="1" applyBorder="1" applyAlignment="1">
      <alignment horizontal="right"/>
    </xf>
    <xf numFmtId="3" fontId="17" fillId="0" borderId="10" xfId="2" applyNumberFormat="1" applyBorder="1" applyAlignment="1">
      <alignment horizontal="right"/>
    </xf>
    <xf numFmtId="0" fontId="17" fillId="0" borderId="8" xfId="2" applyBorder="1"/>
    <xf numFmtId="0" fontId="17" fillId="0" borderId="9" xfId="2" applyBorder="1"/>
    <xf numFmtId="0" fontId="17" fillId="0" borderId="17" xfId="2" applyBorder="1"/>
    <xf numFmtId="0" fontId="17" fillId="0" borderId="10" xfId="2" applyBorder="1"/>
    <xf numFmtId="0" fontId="1" fillId="0" borderId="0" xfId="2" applyFont="1" applyAlignment="1">
      <alignment horizontal="center"/>
    </xf>
    <xf numFmtId="0" fontId="1" fillId="0" borderId="0" xfId="2" applyFont="1" applyBorder="1" applyAlignment="1">
      <alignment horizontal="center"/>
    </xf>
    <xf numFmtId="3" fontId="17" fillId="0" borderId="0" xfId="2" applyNumberFormat="1" applyBorder="1"/>
    <xf numFmtId="0" fontId="3" fillId="0" borderId="0" xfId="2" applyFont="1" applyAlignment="1">
      <alignment horizontal="left"/>
    </xf>
    <xf numFmtId="1" fontId="17" fillId="0" borderId="4" xfId="0" applyNumberFormat="1" applyFont="1" applyFill="1" applyBorder="1" applyAlignment="1">
      <alignment horizontal="center"/>
    </xf>
    <xf numFmtId="3" fontId="40" fillId="0" borderId="0" xfId="0" applyNumberFormat="1" applyFont="1" applyFill="1" applyBorder="1" applyAlignment="1">
      <alignment horizontal="center"/>
    </xf>
    <xf numFmtId="0" fontId="1" fillId="0" borderId="0" xfId="0" applyFont="1"/>
    <xf numFmtId="1" fontId="20" fillId="0" borderId="4" xfId="0" applyNumberFormat="1" applyFont="1" applyBorder="1" applyAlignment="1">
      <alignment horizontal="center"/>
    </xf>
    <xf numFmtId="1" fontId="20" fillId="0" borderId="18" xfId="0" applyNumberFormat="1" applyFont="1" applyBorder="1" applyAlignment="1">
      <alignment horizontal="center"/>
    </xf>
    <xf numFmtId="1" fontId="20" fillId="0" borderId="6" xfId="0" applyNumberFormat="1" applyFont="1" applyBorder="1" applyAlignment="1">
      <alignment horizontal="center"/>
    </xf>
    <xf numFmtId="1" fontId="20" fillId="0" borderId="16" xfId="0" applyNumberFormat="1" applyFont="1" applyFill="1" applyBorder="1" applyAlignment="1">
      <alignment horizontal="center"/>
    </xf>
    <xf numFmtId="1" fontId="20" fillId="0" borderId="4" xfId="0" applyNumberFormat="1" applyFont="1" applyFill="1" applyBorder="1" applyAlignment="1">
      <alignment horizontal="center"/>
    </xf>
    <xf numFmtId="1" fontId="20" fillId="0" borderId="6" xfId="0" applyNumberFormat="1" applyFont="1" applyFill="1" applyBorder="1" applyAlignment="1">
      <alignment horizontal="center"/>
    </xf>
    <xf numFmtId="1" fontId="20" fillId="0" borderId="7" xfId="0" applyNumberFormat="1" applyFont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0" fillId="0" borderId="4" xfId="0" applyNumberFormat="1" applyBorder="1"/>
    <xf numFmtId="1" fontId="0" fillId="0" borderId="4" xfId="0" applyNumberFormat="1" applyBorder="1" applyAlignment="1">
      <alignment horizontal="right"/>
    </xf>
    <xf numFmtId="1" fontId="0" fillId="0" borderId="7" xfId="0" applyNumberFormat="1" applyBorder="1"/>
    <xf numFmtId="1" fontId="0" fillId="0" borderId="16" xfId="0" applyNumberFormat="1" applyBorder="1"/>
    <xf numFmtId="1" fontId="1" fillId="0" borderId="9" xfId="0" applyNumberFormat="1" applyFont="1" applyBorder="1" applyAlignment="1">
      <alignment horizontal="center"/>
    </xf>
    <xf numFmtId="1" fontId="0" fillId="0" borderId="8" xfId="0" applyNumberFormat="1" applyBorder="1"/>
    <xf numFmtId="1" fontId="0" fillId="0" borderId="10" xfId="0" applyNumberFormat="1" applyBorder="1"/>
    <xf numFmtId="1" fontId="0" fillId="0" borderId="17" xfId="0" applyNumberFormat="1" applyBorder="1" applyAlignment="1">
      <alignment horizontal="right"/>
    </xf>
    <xf numFmtId="1" fontId="0" fillId="0" borderId="17" xfId="0" applyNumberFormat="1" applyBorder="1"/>
    <xf numFmtId="1" fontId="1" fillId="0" borderId="0" xfId="0" applyNumberFormat="1" applyFont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18" fillId="0" borderId="18" xfId="0" applyNumberFormat="1" applyFont="1" applyBorder="1" applyAlignment="1">
      <alignment horizontal="center"/>
    </xf>
    <xf numFmtId="1" fontId="18" fillId="0" borderId="6" xfId="0" applyNumberFormat="1" applyFont="1" applyBorder="1" applyAlignment="1">
      <alignment horizontal="center"/>
    </xf>
    <xf numFmtId="1" fontId="18" fillId="0" borderId="16" xfId="0" applyNumberFormat="1" applyFont="1" applyFill="1" applyBorder="1" applyAlignment="1">
      <alignment horizontal="center"/>
    </xf>
    <xf numFmtId="1" fontId="18" fillId="0" borderId="4" xfId="0" applyNumberFormat="1" applyFont="1" applyFill="1" applyBorder="1" applyAlignment="1">
      <alignment horizontal="center"/>
    </xf>
    <xf numFmtId="1" fontId="18" fillId="0" borderId="6" xfId="0" applyNumberFormat="1" applyFont="1" applyFill="1" applyBorder="1" applyAlignment="1">
      <alignment horizontal="center"/>
    </xf>
    <xf numFmtId="1" fontId="18" fillId="0" borderId="7" xfId="0" applyNumberFormat="1" applyFont="1" applyBorder="1" applyAlignment="1">
      <alignment horizontal="center"/>
    </xf>
    <xf numFmtId="1" fontId="18" fillId="0" borderId="0" xfId="0" applyNumberFormat="1" applyFont="1" applyAlignment="1">
      <alignment horizontal="center"/>
    </xf>
    <xf numFmtId="0" fontId="20" fillId="0" borderId="4" xfId="0" applyNumberFormat="1" applyFont="1" applyFill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0" fontId="41" fillId="0" borderId="0" xfId="0" applyFont="1"/>
    <xf numFmtId="0" fontId="38" fillId="0" borderId="0" xfId="0" applyFont="1"/>
    <xf numFmtId="0" fontId="42" fillId="0" borderId="0" xfId="0" applyFont="1"/>
    <xf numFmtId="0" fontId="43" fillId="0" borderId="0" xfId="0" applyFont="1"/>
    <xf numFmtId="1" fontId="17" fillId="0" borderId="4" xfId="0" applyNumberFormat="1" applyFont="1" applyBorder="1" applyAlignment="1" applyProtection="1">
      <alignment horizontal="center"/>
      <protection locked="0"/>
    </xf>
    <xf numFmtId="3" fontId="17" fillId="0" borderId="7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7" xfId="0" applyNumberFormat="1" applyFont="1" applyBorder="1" applyAlignment="1" applyProtection="1">
      <alignment horizontal="center"/>
      <protection locked="0"/>
    </xf>
    <xf numFmtId="1" fontId="17" fillId="0" borderId="4" xfId="0" applyNumberFormat="1" applyFont="1" applyFill="1" applyBorder="1" applyAlignment="1" applyProtection="1">
      <alignment horizontal="center"/>
      <protection locked="0"/>
    </xf>
    <xf numFmtId="3" fontId="17" fillId="0" borderId="6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center"/>
      <protection locked="0"/>
    </xf>
    <xf numFmtId="3" fontId="1" fillId="0" borderId="6" xfId="0" applyNumberFormat="1" applyFont="1" applyFill="1" applyBorder="1" applyAlignment="1" applyProtection="1">
      <alignment horizontal="center"/>
      <protection locked="0"/>
    </xf>
    <xf numFmtId="0" fontId="17" fillId="0" borderId="7" xfId="0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3" fontId="0" fillId="0" borderId="6" xfId="0" applyNumberFormat="1" applyFill="1" applyBorder="1"/>
    <xf numFmtId="3" fontId="0" fillId="0" borderId="18" xfId="0" applyNumberFormat="1" applyFill="1" applyBorder="1" applyAlignment="1">
      <alignment horizontal="right"/>
    </xf>
    <xf numFmtId="0" fontId="0" fillId="0" borderId="4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0" xfId="0" applyFill="1"/>
    <xf numFmtId="0" fontId="1" fillId="0" borderId="4" xfId="0" applyFont="1" applyFill="1" applyBorder="1" applyAlignment="1" applyProtection="1">
      <alignment horizontal="center"/>
      <protection locked="0"/>
    </xf>
    <xf numFmtId="0" fontId="0" fillId="0" borderId="7" xfId="0" applyFill="1" applyBorder="1" applyProtection="1">
      <protection locked="0"/>
    </xf>
    <xf numFmtId="3" fontId="0" fillId="0" borderId="7" xfId="0" applyNumberFormat="1" applyFill="1" applyBorder="1" applyAlignment="1" applyProtection="1">
      <alignment horizontal="center"/>
      <protection locked="0"/>
    </xf>
    <xf numFmtId="3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 applyProtection="1">
      <alignment horizontal="center"/>
      <protection locked="0"/>
    </xf>
    <xf numFmtId="0" fontId="38" fillId="0" borderId="0" xfId="0" applyFont="1" applyFill="1" applyBorder="1"/>
    <xf numFmtId="0" fontId="44" fillId="0" borderId="0" xfId="0" applyFont="1" applyFill="1" applyBorder="1"/>
    <xf numFmtId="0" fontId="45" fillId="0" borderId="0" xfId="0" applyFont="1" applyFill="1" applyBorder="1"/>
    <xf numFmtId="0" fontId="28" fillId="0" borderId="0" xfId="0" applyFont="1"/>
    <xf numFmtId="0" fontId="28" fillId="0" borderId="0" xfId="0" applyFont="1" applyBorder="1"/>
    <xf numFmtId="0" fontId="24" fillId="0" borderId="0" xfId="0" applyFont="1" applyAlignment="1">
      <alignment horizontal="left"/>
    </xf>
    <xf numFmtId="49" fontId="24" fillId="0" borderId="0" xfId="0" applyNumberFormat="1" applyFont="1"/>
    <xf numFmtId="49" fontId="29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24" fillId="0" borderId="0" xfId="0" applyFont="1"/>
    <xf numFmtId="0" fontId="24" fillId="0" borderId="0" xfId="0" applyFont="1" applyBorder="1"/>
    <xf numFmtId="0" fontId="30" fillId="0" borderId="0" xfId="0" applyFont="1"/>
    <xf numFmtId="0" fontId="24" fillId="0" borderId="0" xfId="0" applyFont="1" applyAlignment="1">
      <alignment horizontal="center"/>
    </xf>
    <xf numFmtId="3" fontId="24" fillId="0" borderId="0" xfId="0" applyNumberFormat="1" applyFont="1" applyAlignment="1">
      <alignment horizontal="right"/>
    </xf>
    <xf numFmtId="0" fontId="25" fillId="0" borderId="0" xfId="0" applyFont="1" applyAlignment="1">
      <alignment horizontal="left"/>
    </xf>
    <xf numFmtId="0" fontId="31" fillId="0" borderId="0" xfId="0" applyFont="1"/>
    <xf numFmtId="164" fontId="24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0" fontId="31" fillId="0" borderId="0" xfId="0" applyFont="1" applyAlignment="1">
      <alignment horizontal="left"/>
    </xf>
    <xf numFmtId="0" fontId="35" fillId="0" borderId="6" xfId="0" applyFont="1" applyBorder="1" applyAlignment="1">
      <alignment horizontal="center"/>
    </xf>
    <xf numFmtId="0" fontId="18" fillId="0" borderId="4" xfId="0" applyNumberFormat="1" applyFont="1" applyFill="1" applyBorder="1" applyAlignment="1">
      <alignment horizontal="center"/>
    </xf>
    <xf numFmtId="0" fontId="17" fillId="0" borderId="0" xfId="2" applyFont="1" applyBorder="1"/>
    <xf numFmtId="0" fontId="36" fillId="0" borderId="6" xfId="0" applyFont="1" applyFill="1" applyBorder="1" applyAlignment="1">
      <alignment horizontal="center"/>
    </xf>
    <xf numFmtId="3" fontId="36" fillId="0" borderId="4" xfId="0" applyNumberFormat="1" applyFont="1" applyBorder="1" applyAlignment="1">
      <alignment horizontal="center"/>
    </xf>
    <xf numFmtId="0" fontId="36" fillId="0" borderId="6" xfId="2" applyFon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36" fillId="0" borderId="6" xfId="0" applyFont="1" applyBorder="1" applyAlignment="1">
      <alignment horizontal="left"/>
    </xf>
    <xf numFmtId="0" fontId="6" fillId="0" borderId="0" xfId="1" applyFill="1" applyAlignment="1" applyProtection="1"/>
    <xf numFmtId="164" fontId="17" fillId="0" borderId="6" xfId="0" applyNumberFormat="1" applyFont="1" applyBorder="1" applyAlignment="1">
      <alignment horizontal="center"/>
    </xf>
    <xf numFmtId="164" fontId="18" fillId="0" borderId="6" xfId="0" applyNumberFormat="1" applyFont="1" applyBorder="1" applyAlignment="1">
      <alignment horizontal="center"/>
    </xf>
    <xf numFmtId="1" fontId="17" fillId="0" borderId="6" xfId="0" applyNumberFormat="1" applyFont="1" applyBorder="1" applyAlignment="1" applyProtection="1">
      <alignment horizontal="center"/>
      <protection locked="0"/>
    </xf>
    <xf numFmtId="1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164" fontId="17" fillId="0" borderId="6" xfId="0" applyNumberFormat="1" applyFont="1" applyFill="1" applyBorder="1" applyAlignment="1">
      <alignment horizontal="center"/>
    </xf>
    <xf numFmtId="3" fontId="0" fillId="0" borderId="6" xfId="0" applyNumberFormat="1" applyFill="1" applyBorder="1" applyAlignment="1" applyProtection="1">
      <alignment horizontal="center"/>
      <protection locked="0"/>
    </xf>
    <xf numFmtId="164" fontId="18" fillId="0" borderId="6" xfId="0" applyNumberFormat="1" applyFont="1" applyFill="1" applyBorder="1" applyAlignment="1">
      <alignment horizontal="center"/>
    </xf>
    <xf numFmtId="1" fontId="17" fillId="0" borderId="6" xfId="0" applyNumberFormat="1" applyFont="1" applyFill="1" applyBorder="1" applyAlignment="1" applyProtection="1">
      <alignment horizontal="center"/>
      <protection locked="0"/>
    </xf>
    <xf numFmtId="1" fontId="1" fillId="0" borderId="6" xfId="0" applyNumberFormat="1" applyFont="1" applyFill="1" applyBorder="1" applyAlignment="1" applyProtection="1">
      <alignment horizontal="center"/>
      <protection locked="0"/>
    </xf>
    <xf numFmtId="0" fontId="18" fillId="0" borderId="4" xfId="0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165" fontId="17" fillId="0" borderId="4" xfId="0" applyNumberFormat="1" applyFont="1" applyBorder="1" applyAlignment="1">
      <alignment horizontal="center"/>
    </xf>
    <xf numFmtId="165" fontId="17" fillId="0" borderId="8" xfId="0" applyNumberFormat="1" applyFont="1" applyBorder="1" applyAlignment="1">
      <alignment horizontal="center"/>
    </xf>
    <xf numFmtId="165" fontId="17" fillId="0" borderId="7" xfId="0" applyNumberFormat="1" applyFont="1" applyBorder="1" applyAlignment="1">
      <alignment horizontal="center"/>
    </xf>
    <xf numFmtId="165" fontId="17" fillId="0" borderId="10" xfId="0" applyNumberFormat="1" applyFont="1" applyBorder="1" applyAlignment="1">
      <alignment horizontal="center"/>
    </xf>
    <xf numFmtId="1" fontId="17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47" fillId="0" borderId="0" xfId="0" applyFont="1" applyFill="1" applyBorder="1"/>
    <xf numFmtId="0" fontId="18" fillId="0" borderId="6" xfId="0" applyFont="1" applyFill="1" applyBorder="1" applyAlignment="1">
      <alignment horizontal="center"/>
    </xf>
    <xf numFmtId="0" fontId="25" fillId="0" borderId="0" xfId="0" applyFont="1" applyAlignment="1">
      <alignment horizontal="left" vertical="top" wrapText="1"/>
    </xf>
    <xf numFmtId="14" fontId="46" fillId="0" borderId="0" xfId="0" applyNumberFormat="1" applyFont="1" applyAlignment="1">
      <alignment horizontal="right"/>
    </xf>
    <xf numFmtId="14" fontId="32" fillId="0" borderId="0" xfId="0" applyNumberFormat="1" applyFont="1" applyAlignment="1">
      <alignment horizontal="right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7" fillId="2" borderId="44" xfId="0" applyFont="1" applyFill="1" applyBorder="1" applyAlignment="1">
      <alignment horizontal="center" vertical="center" wrapText="1"/>
    </xf>
    <xf numFmtId="0" fontId="27" fillId="2" borderId="42" xfId="0" applyFont="1" applyFill="1" applyBorder="1" applyAlignment="1">
      <alignment horizontal="center" vertical="center" wrapText="1"/>
    </xf>
    <xf numFmtId="0" fontId="27" fillId="2" borderId="45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4" xfId="2" applyFont="1" applyFill="1" applyBorder="1" applyAlignment="1">
      <alignment horizontal="center" vertical="center"/>
    </xf>
    <xf numFmtId="0" fontId="2" fillId="2" borderId="46" xfId="2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6" fillId="0" borderId="47" xfId="0" applyFont="1" applyBorder="1" applyAlignment="1">
      <alignment horizontal="left" vertical="center" wrapText="1"/>
    </xf>
  </cellXfs>
  <cellStyles count="3">
    <cellStyle name="Hyperlä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1</xdr:col>
      <xdr:colOff>142875</xdr:colOff>
      <xdr:row>0</xdr:row>
      <xdr:rowOff>723900</xdr:rowOff>
    </xdr:to>
    <xdr:pic>
      <xdr:nvPicPr>
        <xdr:cNvPr id="22560" name="Picture 1" descr="Svensk Transplantationsförening">
          <a:extLst>
            <a:ext uri="{FF2B5EF4-FFF2-40B4-BE49-F238E27FC236}">
              <a16:creationId xmlns:a16="http://schemas.microsoft.com/office/drawing/2014/main" id="{FCCB12CF-27EB-198F-6B13-DC734B93A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6953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kristin.persson@vgregion.se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6"/>
  </sheetPr>
  <dimension ref="A1:M23"/>
  <sheetViews>
    <sheetView showGridLines="0" workbookViewId="0">
      <selection activeCell="L1" sqref="L1"/>
    </sheetView>
  </sheetViews>
  <sheetFormatPr defaultColWidth="9.140625" defaultRowHeight="19.5" x14ac:dyDescent="0.25"/>
  <cols>
    <col min="1" max="11" width="9.140625" style="101"/>
    <col min="12" max="12" width="22" style="101" bestFit="1" customWidth="1"/>
    <col min="13" max="16384" width="9.140625" style="101"/>
  </cols>
  <sheetData>
    <row r="1" spans="1:13" ht="58.5" customHeight="1" x14ac:dyDescent="0.25">
      <c r="A1"/>
      <c r="L1" s="232">
        <v>45664</v>
      </c>
    </row>
    <row r="2" spans="1:13" s="220" customFormat="1" ht="63.75" customHeight="1" x14ac:dyDescent="0.2">
      <c r="A2" s="219" t="s">
        <v>22</v>
      </c>
      <c r="K2" s="426"/>
      <c r="L2" s="426"/>
    </row>
    <row r="3" spans="1:13" x14ac:dyDescent="0.25">
      <c r="J3" s="233"/>
      <c r="K3" s="426"/>
      <c r="L3" s="426"/>
    </row>
    <row r="4" spans="1:13" x14ac:dyDescent="0.25">
      <c r="J4" s="233"/>
      <c r="K4" s="233"/>
      <c r="L4" s="233"/>
    </row>
    <row r="6" spans="1:13" ht="20.25" thickBot="1" x14ac:dyDescent="0.3"/>
    <row r="7" spans="1:13" ht="46.5" thickTop="1" x14ac:dyDescent="0.6">
      <c r="A7" s="148" t="s">
        <v>23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3"/>
      <c r="M7" s="104"/>
    </row>
    <row r="8" spans="1:13" ht="27.75" thickBot="1" x14ac:dyDescent="0.4">
      <c r="A8" s="105" t="s">
        <v>87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7"/>
      <c r="M8" s="104"/>
    </row>
    <row r="9" spans="1:13" ht="20.25" thickTop="1" x14ac:dyDescent="0.25"/>
    <row r="13" spans="1:13" x14ac:dyDescent="0.25">
      <c r="I13" s="213"/>
    </row>
    <row r="14" spans="1:13" x14ac:dyDescent="0.25">
      <c r="I14" s="213"/>
    </row>
    <row r="15" spans="1:13" x14ac:dyDescent="0.25">
      <c r="I15" s="213"/>
    </row>
    <row r="18" spans="9:12" x14ac:dyDescent="0.25">
      <c r="I18" s="345"/>
      <c r="J18" s="345"/>
      <c r="K18" s="345"/>
      <c r="L18" s="345"/>
    </row>
    <row r="19" spans="9:12" s="108" customFormat="1" ht="12" customHeight="1" x14ac:dyDescent="0.2">
      <c r="I19" s="346"/>
      <c r="J19" s="344" t="s">
        <v>88</v>
      </c>
      <c r="K19" s="347"/>
      <c r="L19" s="347"/>
    </row>
    <row r="20" spans="9:12" s="108" customFormat="1" ht="12" customHeight="1" x14ac:dyDescent="0.2">
      <c r="I20" s="346"/>
      <c r="J20" s="344" t="s">
        <v>24</v>
      </c>
      <c r="K20" s="347"/>
      <c r="L20" s="347"/>
    </row>
    <row r="21" spans="9:12" s="108" customFormat="1" ht="12" customHeight="1" x14ac:dyDescent="0.2">
      <c r="I21" s="346"/>
      <c r="J21" s="344" t="s">
        <v>89</v>
      </c>
      <c r="K21" s="347"/>
      <c r="L21" s="347"/>
    </row>
    <row r="22" spans="9:12" s="108" customFormat="1" ht="12" customHeight="1" x14ac:dyDescent="0.2">
      <c r="I22" s="346"/>
      <c r="J22" s="404" t="s">
        <v>90</v>
      </c>
      <c r="K22" s="347"/>
      <c r="L22" s="347"/>
    </row>
    <row r="23" spans="9:12" x14ac:dyDescent="0.25">
      <c r="L23" s="109"/>
    </row>
  </sheetData>
  <mergeCells count="1">
    <mergeCell ref="K2:L3"/>
  </mergeCells>
  <phoneticPr fontId="0" type="noConversion"/>
  <hyperlinks>
    <hyperlink ref="J22" r:id="rId1" xr:uid="{00000000-0004-0000-0000-000000000000}"/>
  </hyperlinks>
  <pageMargins left="0.75" right="0.75" top="0.52" bottom="0.6" header="0.3" footer="0.43"/>
  <pageSetup paperSize="9" orientation="landscape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0"/>
  </sheetPr>
  <dimension ref="A1:P77"/>
  <sheetViews>
    <sheetView showGridLines="0" showZeros="0" zoomScaleNormal="100" workbookViewId="0">
      <pane ySplit="2" topLeftCell="A49" activePane="bottomLeft" state="frozen"/>
      <selection activeCell="K87" sqref="K87"/>
      <selection pane="bottomLeft" activeCell="N63" sqref="N63"/>
    </sheetView>
  </sheetViews>
  <sheetFormatPr defaultColWidth="8.85546875" defaultRowHeight="12.75" x14ac:dyDescent="0.2"/>
  <cols>
    <col min="1" max="1" width="5.5703125" style="1" customWidth="1"/>
    <col min="2" max="2" width="9.5703125" customWidth="1"/>
    <col min="3" max="3" width="9.5703125" style="29" customWidth="1"/>
    <col min="4" max="5" width="9.5703125" customWidth="1"/>
    <col min="6" max="6" width="9.5703125" style="29" customWidth="1"/>
    <col min="7" max="8" width="9.5703125" customWidth="1"/>
    <col min="9" max="9" width="9.5703125" style="29" customWidth="1"/>
    <col min="10" max="11" width="9.5703125" customWidth="1"/>
    <col min="12" max="12" width="9.5703125" style="29" customWidth="1"/>
    <col min="13" max="14" width="9.5703125" customWidth="1"/>
    <col min="15" max="15" width="9.5703125" style="29" customWidth="1"/>
    <col min="16" max="16" width="9.5703125" customWidth="1"/>
  </cols>
  <sheetData>
    <row r="1" spans="1:16" s="6" customFormat="1" ht="20.25" customHeight="1" x14ac:dyDescent="0.2">
      <c r="A1" s="16"/>
      <c r="B1" s="440" t="s">
        <v>4</v>
      </c>
      <c r="C1" s="435"/>
      <c r="D1" s="437"/>
      <c r="E1" s="434" t="s">
        <v>5</v>
      </c>
      <c r="F1" s="435"/>
      <c r="G1" s="435"/>
      <c r="H1" s="434" t="s">
        <v>6</v>
      </c>
      <c r="I1" s="435"/>
      <c r="J1" s="437"/>
      <c r="K1" s="434" t="s">
        <v>7</v>
      </c>
      <c r="L1" s="435"/>
      <c r="M1" s="435"/>
      <c r="N1" s="434" t="s">
        <v>8</v>
      </c>
      <c r="O1" s="435"/>
      <c r="P1" s="436"/>
    </row>
    <row r="2" spans="1:16" s="2" customFormat="1" ht="25.5" customHeight="1" thickBot="1" x14ac:dyDescent="0.25">
      <c r="A2" s="5" t="s">
        <v>9</v>
      </c>
      <c r="B2" s="3" t="s">
        <v>95</v>
      </c>
      <c r="C2" s="5" t="s">
        <v>96</v>
      </c>
      <c r="D2" s="4" t="s">
        <v>1</v>
      </c>
      <c r="E2" s="3" t="s">
        <v>97</v>
      </c>
      <c r="F2" s="5" t="s">
        <v>96</v>
      </c>
      <c r="G2" s="4" t="s">
        <v>1</v>
      </c>
      <c r="H2" s="3" t="s">
        <v>97</v>
      </c>
      <c r="I2" s="5" t="s">
        <v>96</v>
      </c>
      <c r="J2" s="4" t="s">
        <v>1</v>
      </c>
      <c r="K2" s="3" t="s">
        <v>97</v>
      </c>
      <c r="L2" s="5" t="s">
        <v>96</v>
      </c>
      <c r="M2" s="4" t="s">
        <v>1</v>
      </c>
      <c r="N2" s="3" t="s">
        <v>97</v>
      </c>
      <c r="O2" s="5" t="s">
        <v>96</v>
      </c>
      <c r="P2" s="4" t="s">
        <v>1</v>
      </c>
    </row>
    <row r="3" spans="1:16" ht="17.25" customHeight="1" thickTop="1" x14ac:dyDescent="0.2">
      <c r="A3" s="17">
        <v>1964</v>
      </c>
      <c r="B3" s="51"/>
      <c r="C3" s="53"/>
      <c r="D3" s="59"/>
      <c r="E3" s="51"/>
      <c r="F3" s="53"/>
      <c r="G3" s="59"/>
      <c r="H3" s="51"/>
      <c r="I3" s="53"/>
      <c r="J3" s="59"/>
      <c r="K3" s="60"/>
      <c r="L3" s="65"/>
      <c r="M3" s="59"/>
      <c r="N3" s="51"/>
      <c r="O3" s="53"/>
      <c r="P3" s="59"/>
    </row>
    <row r="4" spans="1:16" x14ac:dyDescent="0.2">
      <c r="A4" s="17">
        <v>1965</v>
      </c>
      <c r="B4" s="51"/>
      <c r="C4" s="53"/>
      <c r="D4" s="52"/>
      <c r="E4" s="51"/>
      <c r="F4" s="53"/>
      <c r="G4" s="53"/>
      <c r="H4" s="51"/>
      <c r="I4" s="53"/>
      <c r="J4" s="53"/>
      <c r="K4" s="51"/>
      <c r="L4" s="53"/>
      <c r="M4" s="53"/>
      <c r="N4" s="51"/>
      <c r="O4" s="53"/>
      <c r="P4" s="54"/>
    </row>
    <row r="5" spans="1:16" x14ac:dyDescent="0.2">
      <c r="A5" s="17">
        <v>1966</v>
      </c>
      <c r="B5" s="51"/>
      <c r="C5" s="53"/>
      <c r="D5" s="52"/>
      <c r="E5" s="51"/>
      <c r="F5" s="53"/>
      <c r="G5" s="53"/>
      <c r="H5" s="51"/>
      <c r="I5" s="53"/>
      <c r="J5" s="53"/>
      <c r="K5" s="51"/>
      <c r="L5" s="53"/>
      <c r="M5" s="53"/>
      <c r="N5" s="51"/>
      <c r="O5" s="53"/>
      <c r="P5" s="54"/>
    </row>
    <row r="6" spans="1:16" x14ac:dyDescent="0.2">
      <c r="A6" s="17">
        <v>1967</v>
      </c>
      <c r="B6" s="51"/>
      <c r="C6" s="53"/>
      <c r="D6" s="52"/>
      <c r="E6" s="51"/>
      <c r="F6" s="53"/>
      <c r="G6" s="53"/>
      <c r="H6" s="51"/>
      <c r="I6" s="53"/>
      <c r="J6" s="53"/>
      <c r="K6" s="51"/>
      <c r="L6" s="53"/>
      <c r="M6" s="53"/>
      <c r="N6" s="51"/>
      <c r="O6" s="53"/>
      <c r="P6" s="54"/>
    </row>
    <row r="7" spans="1:16" x14ac:dyDescent="0.2">
      <c r="A7" s="17">
        <v>1968</v>
      </c>
      <c r="B7" s="51"/>
      <c r="C7" s="53"/>
      <c r="D7" s="52"/>
      <c r="E7" s="51"/>
      <c r="F7" s="53"/>
      <c r="G7" s="53"/>
      <c r="H7" s="51"/>
      <c r="I7" s="53"/>
      <c r="J7" s="53"/>
      <c r="K7" s="51"/>
      <c r="L7" s="53"/>
      <c r="M7" s="53"/>
      <c r="N7" s="51"/>
      <c r="O7" s="53"/>
      <c r="P7" s="54"/>
    </row>
    <row r="8" spans="1:16" x14ac:dyDescent="0.2">
      <c r="A8" s="17">
        <v>1969</v>
      </c>
      <c r="B8" s="51"/>
      <c r="C8" s="53"/>
      <c r="D8" s="52"/>
      <c r="E8" s="51"/>
      <c r="F8" s="53"/>
      <c r="G8" s="53"/>
      <c r="H8" s="51"/>
      <c r="I8" s="53"/>
      <c r="J8" s="53"/>
      <c r="K8" s="51"/>
      <c r="L8" s="53"/>
      <c r="M8" s="53"/>
      <c r="N8" s="51"/>
      <c r="O8" s="53"/>
      <c r="P8" s="54"/>
    </row>
    <row r="9" spans="1:16" x14ac:dyDescent="0.2">
      <c r="A9" s="17">
        <v>1970</v>
      </c>
      <c r="B9" s="51"/>
      <c r="C9" s="53"/>
      <c r="D9" s="52"/>
      <c r="E9" s="51"/>
      <c r="F9" s="53"/>
      <c r="G9" s="53"/>
      <c r="H9" s="51"/>
      <c r="I9" s="53"/>
      <c r="J9" s="53"/>
      <c r="K9" s="51"/>
      <c r="L9" s="53"/>
      <c r="M9" s="53"/>
      <c r="N9" s="51"/>
      <c r="O9" s="53"/>
      <c r="P9" s="54"/>
    </row>
    <row r="10" spans="1:16" x14ac:dyDescent="0.2">
      <c r="A10" s="17">
        <v>1971</v>
      </c>
      <c r="B10" s="51"/>
      <c r="C10" s="53"/>
      <c r="D10" s="52"/>
      <c r="E10" s="51"/>
      <c r="F10" s="53"/>
      <c r="G10" s="53"/>
      <c r="H10" s="51"/>
      <c r="I10" s="53"/>
      <c r="J10" s="53"/>
      <c r="K10" s="51"/>
      <c r="L10" s="53"/>
      <c r="M10" s="53"/>
      <c r="N10" s="51"/>
      <c r="O10" s="53"/>
      <c r="P10" s="54"/>
    </row>
    <row r="11" spans="1:16" x14ac:dyDescent="0.2">
      <c r="A11" s="17">
        <v>1972</v>
      </c>
      <c r="B11" s="51"/>
      <c r="C11" s="53"/>
      <c r="D11" s="52"/>
      <c r="E11" s="51"/>
      <c r="F11" s="53"/>
      <c r="G11" s="53"/>
      <c r="H11" s="51"/>
      <c r="I11" s="53"/>
      <c r="J11" s="53"/>
      <c r="K11" s="51"/>
      <c r="L11" s="53"/>
      <c r="M11" s="53"/>
      <c r="N11" s="51"/>
      <c r="O11" s="53"/>
      <c r="P11" s="54"/>
    </row>
    <row r="12" spans="1:16" x14ac:dyDescent="0.2">
      <c r="A12" s="17">
        <v>1973</v>
      </c>
      <c r="B12" s="51"/>
      <c r="C12" s="53"/>
      <c r="D12" s="52"/>
      <c r="E12" s="51"/>
      <c r="F12" s="53"/>
      <c r="G12" s="53"/>
      <c r="H12" s="51"/>
      <c r="I12" s="53"/>
      <c r="J12" s="53"/>
      <c r="K12" s="51"/>
      <c r="L12" s="53"/>
      <c r="M12" s="53"/>
      <c r="N12" s="51"/>
      <c r="O12" s="53"/>
      <c r="P12" s="54"/>
    </row>
    <row r="13" spans="1:16" x14ac:dyDescent="0.2">
      <c r="A13" s="17">
        <v>1974</v>
      </c>
      <c r="B13" s="51">
        <v>2</v>
      </c>
      <c r="C13" s="53"/>
      <c r="D13" s="52">
        <f>D12+B13</f>
        <v>2</v>
      </c>
      <c r="E13" s="51"/>
      <c r="F13" s="53"/>
      <c r="G13" s="53"/>
      <c r="H13" s="51">
        <v>1</v>
      </c>
      <c r="I13" s="53"/>
      <c r="J13" s="53">
        <f>J12+H13</f>
        <v>1</v>
      </c>
      <c r="K13" s="51"/>
      <c r="L13" s="53"/>
      <c r="M13" s="53"/>
      <c r="N13" s="51">
        <f>B13+E13+H13+K13</f>
        <v>3</v>
      </c>
      <c r="O13" s="53"/>
      <c r="P13" s="54">
        <f>D13+G13+J13+M13</f>
        <v>3</v>
      </c>
    </row>
    <row r="14" spans="1:16" x14ac:dyDescent="0.2">
      <c r="A14" s="17">
        <v>1975</v>
      </c>
      <c r="B14" s="51">
        <v>2</v>
      </c>
      <c r="C14" s="53"/>
      <c r="D14" s="52">
        <f t="shared" ref="D14:D44" si="0">D13+B14</f>
        <v>4</v>
      </c>
      <c r="E14" s="51"/>
      <c r="F14" s="53"/>
      <c r="G14" s="53"/>
      <c r="H14" s="51">
        <v>1</v>
      </c>
      <c r="I14" s="53"/>
      <c r="J14" s="53">
        <f t="shared" ref="J14:J44" si="1">J13+H14</f>
        <v>2</v>
      </c>
      <c r="K14" s="51"/>
      <c r="L14" s="53"/>
      <c r="M14" s="53"/>
      <c r="N14" s="51">
        <f t="shared" ref="N14:N43" si="2">B14+E14+H14+K14</f>
        <v>3</v>
      </c>
      <c r="O14" s="53"/>
      <c r="P14" s="54">
        <f>P13+N14</f>
        <v>6</v>
      </c>
    </row>
    <row r="15" spans="1:16" x14ac:dyDescent="0.2">
      <c r="A15" s="17">
        <v>1976</v>
      </c>
      <c r="B15" s="51">
        <v>2</v>
      </c>
      <c r="C15" s="53"/>
      <c r="D15" s="52">
        <f t="shared" si="0"/>
        <v>6</v>
      </c>
      <c r="E15" s="51"/>
      <c r="F15" s="53"/>
      <c r="G15" s="53"/>
      <c r="H15" s="51"/>
      <c r="I15" s="53"/>
      <c r="J15" s="53">
        <f t="shared" si="1"/>
        <v>2</v>
      </c>
      <c r="K15" s="51"/>
      <c r="L15" s="53"/>
      <c r="M15" s="53"/>
      <c r="N15" s="51">
        <f t="shared" si="2"/>
        <v>2</v>
      </c>
      <c r="O15" s="53"/>
      <c r="P15" s="54">
        <f t="shared" ref="P15:P43" si="3">P14+N15</f>
        <v>8</v>
      </c>
    </row>
    <row r="16" spans="1:16" x14ac:dyDescent="0.2">
      <c r="A16" s="17">
        <v>1977</v>
      </c>
      <c r="B16" s="51"/>
      <c r="C16" s="53"/>
      <c r="D16" s="52">
        <f t="shared" si="0"/>
        <v>6</v>
      </c>
      <c r="E16" s="51"/>
      <c r="F16" s="53"/>
      <c r="G16" s="53"/>
      <c r="H16" s="51"/>
      <c r="I16" s="53"/>
      <c r="J16" s="53">
        <f t="shared" si="1"/>
        <v>2</v>
      </c>
      <c r="K16" s="51"/>
      <c r="L16" s="53"/>
      <c r="M16" s="53"/>
      <c r="N16" s="51">
        <f t="shared" si="2"/>
        <v>0</v>
      </c>
      <c r="O16" s="53"/>
      <c r="P16" s="54">
        <f t="shared" si="3"/>
        <v>8</v>
      </c>
    </row>
    <row r="17" spans="1:16" x14ac:dyDescent="0.2">
      <c r="A17" s="17">
        <v>1978</v>
      </c>
      <c r="B17" s="51">
        <v>2</v>
      </c>
      <c r="C17" s="53"/>
      <c r="D17" s="52">
        <f t="shared" si="0"/>
        <v>8</v>
      </c>
      <c r="E17" s="51"/>
      <c r="F17" s="53"/>
      <c r="G17" s="53"/>
      <c r="H17" s="51"/>
      <c r="I17" s="53"/>
      <c r="J17" s="53">
        <f t="shared" si="1"/>
        <v>2</v>
      </c>
      <c r="K17" s="51"/>
      <c r="L17" s="53"/>
      <c r="M17" s="53"/>
      <c r="N17" s="51">
        <f t="shared" si="2"/>
        <v>2</v>
      </c>
      <c r="O17" s="53"/>
      <c r="P17" s="54">
        <f t="shared" si="3"/>
        <v>10</v>
      </c>
    </row>
    <row r="18" spans="1:16" x14ac:dyDescent="0.2">
      <c r="A18" s="17">
        <v>1979</v>
      </c>
      <c r="B18" s="51"/>
      <c r="C18" s="53"/>
      <c r="D18" s="52">
        <f t="shared" si="0"/>
        <v>8</v>
      </c>
      <c r="E18" s="51"/>
      <c r="F18" s="53"/>
      <c r="G18" s="53"/>
      <c r="H18" s="51"/>
      <c r="I18" s="53"/>
      <c r="J18" s="53">
        <f t="shared" si="1"/>
        <v>2</v>
      </c>
      <c r="K18" s="51"/>
      <c r="L18" s="53"/>
      <c r="M18" s="53"/>
      <c r="N18" s="51">
        <f t="shared" si="2"/>
        <v>0</v>
      </c>
      <c r="O18" s="53"/>
      <c r="P18" s="54">
        <f t="shared" si="3"/>
        <v>10</v>
      </c>
    </row>
    <row r="19" spans="1:16" x14ac:dyDescent="0.2">
      <c r="A19" s="17">
        <v>1980</v>
      </c>
      <c r="B19" s="51">
        <v>1</v>
      </c>
      <c r="C19" s="53"/>
      <c r="D19" s="52">
        <f t="shared" si="0"/>
        <v>9</v>
      </c>
      <c r="E19" s="51"/>
      <c r="F19" s="53"/>
      <c r="G19" s="53"/>
      <c r="H19" s="51"/>
      <c r="I19" s="53"/>
      <c r="J19" s="53">
        <f t="shared" si="1"/>
        <v>2</v>
      </c>
      <c r="K19" s="51"/>
      <c r="L19" s="53"/>
      <c r="M19" s="53"/>
      <c r="N19" s="51">
        <f t="shared" si="2"/>
        <v>1</v>
      </c>
      <c r="O19" s="53"/>
      <c r="P19" s="54">
        <f t="shared" si="3"/>
        <v>11</v>
      </c>
    </row>
    <row r="20" spans="1:16" x14ac:dyDescent="0.2">
      <c r="A20" s="17">
        <v>1981</v>
      </c>
      <c r="B20" s="51">
        <v>6</v>
      </c>
      <c r="C20" s="53"/>
      <c r="D20" s="52">
        <f t="shared" si="0"/>
        <v>15</v>
      </c>
      <c r="E20" s="51"/>
      <c r="F20" s="53"/>
      <c r="G20" s="53"/>
      <c r="H20" s="51"/>
      <c r="I20" s="53"/>
      <c r="J20" s="53">
        <f t="shared" si="1"/>
        <v>2</v>
      </c>
      <c r="K20" s="51"/>
      <c r="L20" s="53"/>
      <c r="M20" s="53"/>
      <c r="N20" s="51">
        <f t="shared" si="2"/>
        <v>6</v>
      </c>
      <c r="O20" s="53"/>
      <c r="P20" s="54">
        <f t="shared" si="3"/>
        <v>17</v>
      </c>
    </row>
    <row r="21" spans="1:16" x14ac:dyDescent="0.2">
      <c r="A21" s="17">
        <v>1982</v>
      </c>
      <c r="B21" s="51">
        <v>5</v>
      </c>
      <c r="C21" s="53"/>
      <c r="D21" s="52">
        <f t="shared" si="0"/>
        <v>20</v>
      </c>
      <c r="E21" s="51"/>
      <c r="F21" s="53"/>
      <c r="G21" s="53"/>
      <c r="H21" s="51"/>
      <c r="I21" s="53"/>
      <c r="J21" s="53">
        <f t="shared" si="1"/>
        <v>2</v>
      </c>
      <c r="K21" s="51"/>
      <c r="L21" s="53"/>
      <c r="M21" s="53"/>
      <c r="N21" s="51">
        <f t="shared" si="2"/>
        <v>5</v>
      </c>
      <c r="O21" s="53"/>
      <c r="P21" s="54">
        <f t="shared" si="3"/>
        <v>22</v>
      </c>
    </row>
    <row r="22" spans="1:16" x14ac:dyDescent="0.2">
      <c r="A22" s="17">
        <v>1983</v>
      </c>
      <c r="B22" s="51">
        <v>10</v>
      </c>
      <c r="C22" s="53"/>
      <c r="D22" s="52">
        <f t="shared" si="0"/>
        <v>30</v>
      </c>
      <c r="E22" s="51"/>
      <c r="F22" s="53"/>
      <c r="G22" s="53"/>
      <c r="H22" s="51"/>
      <c r="I22" s="53"/>
      <c r="J22" s="53">
        <f t="shared" si="1"/>
        <v>2</v>
      </c>
      <c r="K22" s="51"/>
      <c r="L22" s="53"/>
      <c r="M22" s="53"/>
      <c r="N22" s="51">
        <f t="shared" si="2"/>
        <v>10</v>
      </c>
      <c r="O22" s="53"/>
      <c r="P22" s="54">
        <f t="shared" si="3"/>
        <v>32</v>
      </c>
    </row>
    <row r="23" spans="1:16" x14ac:dyDescent="0.2">
      <c r="A23" s="17">
        <v>1984</v>
      </c>
      <c r="B23" s="51">
        <v>15</v>
      </c>
      <c r="C23" s="53"/>
      <c r="D23" s="52">
        <f t="shared" si="0"/>
        <v>45</v>
      </c>
      <c r="E23" s="51"/>
      <c r="F23" s="53"/>
      <c r="G23" s="53"/>
      <c r="H23" s="51"/>
      <c r="I23" s="53"/>
      <c r="J23" s="53">
        <f t="shared" si="1"/>
        <v>2</v>
      </c>
      <c r="K23" s="51"/>
      <c r="L23" s="53"/>
      <c r="M23" s="53"/>
      <c r="N23" s="51">
        <f t="shared" si="2"/>
        <v>15</v>
      </c>
      <c r="O23" s="53"/>
      <c r="P23" s="54">
        <f t="shared" si="3"/>
        <v>47</v>
      </c>
    </row>
    <row r="24" spans="1:16" x14ac:dyDescent="0.2">
      <c r="A24" s="17">
        <v>1985</v>
      </c>
      <c r="B24" s="51">
        <v>16</v>
      </c>
      <c r="C24" s="53"/>
      <c r="D24" s="52">
        <f t="shared" si="0"/>
        <v>61</v>
      </c>
      <c r="E24" s="51"/>
      <c r="F24" s="53"/>
      <c r="G24" s="53"/>
      <c r="H24" s="51">
        <v>2</v>
      </c>
      <c r="I24" s="53"/>
      <c r="J24" s="53">
        <f t="shared" si="1"/>
        <v>4</v>
      </c>
      <c r="K24" s="51">
        <v>2</v>
      </c>
      <c r="L24" s="53"/>
      <c r="M24" s="53">
        <f>M23+K24</f>
        <v>2</v>
      </c>
      <c r="N24" s="51">
        <f t="shared" si="2"/>
        <v>20</v>
      </c>
      <c r="O24" s="53"/>
      <c r="P24" s="54">
        <f t="shared" si="3"/>
        <v>67</v>
      </c>
    </row>
    <row r="25" spans="1:16" x14ac:dyDescent="0.2">
      <c r="A25" s="17">
        <v>1986</v>
      </c>
      <c r="B25" s="51">
        <v>20</v>
      </c>
      <c r="C25" s="53"/>
      <c r="D25" s="52">
        <f t="shared" si="0"/>
        <v>81</v>
      </c>
      <c r="E25" s="51">
        <v>5</v>
      </c>
      <c r="F25" s="53"/>
      <c r="G25" s="53">
        <f>G24+E25</f>
        <v>5</v>
      </c>
      <c r="H25" s="51">
        <v>9</v>
      </c>
      <c r="I25" s="53"/>
      <c r="J25" s="53">
        <f t="shared" si="1"/>
        <v>13</v>
      </c>
      <c r="K25" s="51">
        <v>2</v>
      </c>
      <c r="L25" s="53"/>
      <c r="M25" s="53">
        <f t="shared" ref="M25:M44" si="4">M24+K25</f>
        <v>4</v>
      </c>
      <c r="N25" s="51">
        <f t="shared" si="2"/>
        <v>36</v>
      </c>
      <c r="O25" s="53"/>
      <c r="P25" s="54">
        <f t="shared" si="3"/>
        <v>103</v>
      </c>
    </row>
    <row r="26" spans="1:16" x14ac:dyDescent="0.2">
      <c r="A26" s="17">
        <v>1987</v>
      </c>
      <c r="B26" s="51">
        <v>23</v>
      </c>
      <c r="C26" s="53"/>
      <c r="D26" s="52">
        <f t="shared" si="0"/>
        <v>104</v>
      </c>
      <c r="E26" s="51">
        <v>8</v>
      </c>
      <c r="F26" s="53"/>
      <c r="G26" s="53">
        <f t="shared" ref="G26:G44" si="5">G25+E26</f>
        <v>13</v>
      </c>
      <c r="H26" s="51">
        <v>13</v>
      </c>
      <c r="I26" s="53"/>
      <c r="J26" s="53">
        <f t="shared" si="1"/>
        <v>26</v>
      </c>
      <c r="K26" s="51"/>
      <c r="L26" s="53"/>
      <c r="M26" s="53">
        <f t="shared" si="4"/>
        <v>4</v>
      </c>
      <c r="N26" s="51">
        <f t="shared" si="2"/>
        <v>44</v>
      </c>
      <c r="O26" s="53"/>
      <c r="P26" s="54">
        <f t="shared" si="3"/>
        <v>147</v>
      </c>
    </row>
    <row r="27" spans="1:16" x14ac:dyDescent="0.2">
      <c r="A27" s="17">
        <v>1988</v>
      </c>
      <c r="B27" s="51">
        <v>14</v>
      </c>
      <c r="C27" s="53"/>
      <c r="D27" s="52">
        <f t="shared" si="0"/>
        <v>118</v>
      </c>
      <c r="E27" s="51">
        <v>8</v>
      </c>
      <c r="F27" s="53"/>
      <c r="G27" s="53">
        <f t="shared" si="5"/>
        <v>21</v>
      </c>
      <c r="H27" s="51">
        <v>17</v>
      </c>
      <c r="I27" s="53"/>
      <c r="J27" s="53">
        <f t="shared" si="1"/>
        <v>43</v>
      </c>
      <c r="K27" s="51">
        <v>1</v>
      </c>
      <c r="L27" s="53"/>
      <c r="M27" s="53">
        <f t="shared" si="4"/>
        <v>5</v>
      </c>
      <c r="N27" s="51">
        <f t="shared" si="2"/>
        <v>40</v>
      </c>
      <c r="O27" s="53"/>
      <c r="P27" s="54">
        <f t="shared" si="3"/>
        <v>187</v>
      </c>
    </row>
    <row r="28" spans="1:16" x14ac:dyDescent="0.2">
      <c r="A28" s="17">
        <v>1989</v>
      </c>
      <c r="B28" s="51">
        <v>7</v>
      </c>
      <c r="C28" s="53"/>
      <c r="D28" s="52">
        <f t="shared" si="0"/>
        <v>125</v>
      </c>
      <c r="E28" s="51">
        <v>3</v>
      </c>
      <c r="F28" s="53"/>
      <c r="G28" s="53">
        <f t="shared" si="5"/>
        <v>24</v>
      </c>
      <c r="H28" s="51">
        <v>15</v>
      </c>
      <c r="I28" s="53"/>
      <c r="J28" s="53">
        <f t="shared" si="1"/>
        <v>58</v>
      </c>
      <c r="K28" s="51">
        <v>4</v>
      </c>
      <c r="L28" s="53"/>
      <c r="M28" s="53">
        <f t="shared" si="4"/>
        <v>9</v>
      </c>
      <c r="N28" s="51">
        <f t="shared" si="2"/>
        <v>29</v>
      </c>
      <c r="O28" s="53"/>
      <c r="P28" s="54">
        <f t="shared" si="3"/>
        <v>216</v>
      </c>
    </row>
    <row r="29" spans="1:16" x14ac:dyDescent="0.2">
      <c r="A29" s="17">
        <v>1990</v>
      </c>
      <c r="B29" s="51">
        <v>7</v>
      </c>
      <c r="C29" s="53"/>
      <c r="D29" s="52">
        <f t="shared" si="0"/>
        <v>132</v>
      </c>
      <c r="E29" s="51">
        <v>8</v>
      </c>
      <c r="F29" s="53"/>
      <c r="G29" s="53">
        <f t="shared" si="5"/>
        <v>32</v>
      </c>
      <c r="H29" s="51">
        <v>9</v>
      </c>
      <c r="I29" s="53"/>
      <c r="J29" s="53">
        <f t="shared" si="1"/>
        <v>67</v>
      </c>
      <c r="K29" s="51">
        <v>5</v>
      </c>
      <c r="L29" s="53"/>
      <c r="M29" s="53">
        <f t="shared" si="4"/>
        <v>14</v>
      </c>
      <c r="N29" s="51">
        <f t="shared" si="2"/>
        <v>29</v>
      </c>
      <c r="O29" s="53"/>
      <c r="P29" s="54">
        <f t="shared" si="3"/>
        <v>245</v>
      </c>
    </row>
    <row r="30" spans="1:16" x14ac:dyDescent="0.2">
      <c r="A30" s="17">
        <v>1991</v>
      </c>
      <c r="B30" s="51">
        <v>3</v>
      </c>
      <c r="C30" s="53"/>
      <c r="D30" s="52">
        <f t="shared" si="0"/>
        <v>135</v>
      </c>
      <c r="E30" s="51">
        <v>8</v>
      </c>
      <c r="F30" s="53"/>
      <c r="G30" s="53">
        <f t="shared" si="5"/>
        <v>40</v>
      </c>
      <c r="H30" s="51">
        <v>12</v>
      </c>
      <c r="I30" s="53"/>
      <c r="J30" s="53">
        <f t="shared" si="1"/>
        <v>79</v>
      </c>
      <c r="K30" s="51">
        <v>4</v>
      </c>
      <c r="L30" s="53"/>
      <c r="M30" s="53">
        <f t="shared" si="4"/>
        <v>18</v>
      </c>
      <c r="N30" s="51">
        <f t="shared" si="2"/>
        <v>27</v>
      </c>
      <c r="O30" s="53"/>
      <c r="P30" s="54">
        <f t="shared" si="3"/>
        <v>272</v>
      </c>
    </row>
    <row r="31" spans="1:16" x14ac:dyDescent="0.2">
      <c r="A31" s="17">
        <v>1992</v>
      </c>
      <c r="B31" s="51">
        <v>6</v>
      </c>
      <c r="C31" s="53"/>
      <c r="D31" s="52">
        <f t="shared" si="0"/>
        <v>141</v>
      </c>
      <c r="E31" s="51">
        <v>5</v>
      </c>
      <c r="F31" s="53"/>
      <c r="G31" s="53">
        <f t="shared" si="5"/>
        <v>45</v>
      </c>
      <c r="H31" s="51">
        <v>7</v>
      </c>
      <c r="I31" s="53"/>
      <c r="J31" s="53">
        <f t="shared" si="1"/>
        <v>86</v>
      </c>
      <c r="K31" s="51">
        <v>1</v>
      </c>
      <c r="L31" s="53"/>
      <c r="M31" s="53">
        <f t="shared" si="4"/>
        <v>19</v>
      </c>
      <c r="N31" s="51">
        <f t="shared" si="2"/>
        <v>19</v>
      </c>
      <c r="O31" s="53"/>
      <c r="P31" s="54">
        <f t="shared" si="3"/>
        <v>291</v>
      </c>
    </row>
    <row r="32" spans="1:16" x14ac:dyDescent="0.2">
      <c r="A32" s="17">
        <v>1993</v>
      </c>
      <c r="B32" s="51">
        <v>5</v>
      </c>
      <c r="C32" s="53"/>
      <c r="D32" s="52">
        <f t="shared" si="0"/>
        <v>146</v>
      </c>
      <c r="E32" s="51">
        <v>4</v>
      </c>
      <c r="F32" s="53"/>
      <c r="G32" s="53">
        <f t="shared" si="5"/>
        <v>49</v>
      </c>
      <c r="H32" s="51">
        <v>7</v>
      </c>
      <c r="I32" s="53"/>
      <c r="J32" s="53">
        <f t="shared" si="1"/>
        <v>93</v>
      </c>
      <c r="K32" s="51">
        <v>3</v>
      </c>
      <c r="L32" s="53"/>
      <c r="M32" s="53">
        <f t="shared" si="4"/>
        <v>22</v>
      </c>
      <c r="N32" s="51">
        <f t="shared" si="2"/>
        <v>19</v>
      </c>
      <c r="O32" s="53"/>
      <c r="P32" s="54">
        <f t="shared" si="3"/>
        <v>310</v>
      </c>
    </row>
    <row r="33" spans="1:16" x14ac:dyDescent="0.2">
      <c r="A33" s="17">
        <v>1994</v>
      </c>
      <c r="B33" s="51">
        <v>4</v>
      </c>
      <c r="C33" s="53"/>
      <c r="D33" s="52">
        <f t="shared" si="0"/>
        <v>150</v>
      </c>
      <c r="E33" s="51"/>
      <c r="F33" s="53"/>
      <c r="G33" s="53">
        <f t="shared" si="5"/>
        <v>49</v>
      </c>
      <c r="H33" s="51">
        <v>4</v>
      </c>
      <c r="I33" s="53"/>
      <c r="J33" s="53">
        <f t="shared" si="1"/>
        <v>97</v>
      </c>
      <c r="K33" s="51">
        <v>2</v>
      </c>
      <c r="L33" s="53"/>
      <c r="M33" s="53">
        <f t="shared" si="4"/>
        <v>24</v>
      </c>
      <c r="N33" s="51">
        <f t="shared" si="2"/>
        <v>10</v>
      </c>
      <c r="O33" s="53"/>
      <c r="P33" s="54">
        <f t="shared" si="3"/>
        <v>320</v>
      </c>
    </row>
    <row r="34" spans="1:16" x14ac:dyDescent="0.2">
      <c r="A34" s="17">
        <v>1995</v>
      </c>
      <c r="B34" s="51">
        <v>6</v>
      </c>
      <c r="C34" s="53"/>
      <c r="D34" s="52">
        <f t="shared" si="0"/>
        <v>156</v>
      </c>
      <c r="E34" s="51">
        <v>5</v>
      </c>
      <c r="F34" s="53"/>
      <c r="G34" s="53">
        <f t="shared" si="5"/>
        <v>54</v>
      </c>
      <c r="H34" s="51">
        <v>3</v>
      </c>
      <c r="I34" s="53"/>
      <c r="J34" s="53">
        <f t="shared" si="1"/>
        <v>100</v>
      </c>
      <c r="K34" s="51">
        <v>1</v>
      </c>
      <c r="L34" s="53"/>
      <c r="M34" s="53">
        <f t="shared" si="4"/>
        <v>25</v>
      </c>
      <c r="N34" s="51">
        <f t="shared" si="2"/>
        <v>15</v>
      </c>
      <c r="O34" s="53"/>
      <c r="P34" s="54">
        <f t="shared" si="3"/>
        <v>335</v>
      </c>
    </row>
    <row r="35" spans="1:16" x14ac:dyDescent="0.2">
      <c r="A35" s="17">
        <v>1996</v>
      </c>
      <c r="B35" s="51">
        <v>2</v>
      </c>
      <c r="C35" s="53"/>
      <c r="D35" s="52">
        <f t="shared" si="0"/>
        <v>158</v>
      </c>
      <c r="E35" s="51">
        <v>2</v>
      </c>
      <c r="F35" s="53"/>
      <c r="G35" s="53">
        <f t="shared" si="5"/>
        <v>56</v>
      </c>
      <c r="H35" s="51">
        <v>2</v>
      </c>
      <c r="I35" s="53"/>
      <c r="J35" s="53">
        <f t="shared" si="1"/>
        <v>102</v>
      </c>
      <c r="K35" s="51">
        <v>1</v>
      </c>
      <c r="L35" s="53"/>
      <c r="M35" s="53">
        <f t="shared" si="4"/>
        <v>26</v>
      </c>
      <c r="N35" s="51">
        <f t="shared" si="2"/>
        <v>7</v>
      </c>
      <c r="O35" s="53"/>
      <c r="P35" s="54">
        <f t="shared" si="3"/>
        <v>342</v>
      </c>
    </row>
    <row r="36" spans="1:16" x14ac:dyDescent="0.2">
      <c r="A36" s="17">
        <v>1997</v>
      </c>
      <c r="B36" s="51">
        <v>4</v>
      </c>
      <c r="C36" s="53"/>
      <c r="D36" s="52">
        <f t="shared" si="0"/>
        <v>162</v>
      </c>
      <c r="E36" s="51">
        <v>2</v>
      </c>
      <c r="F36" s="53"/>
      <c r="G36" s="53">
        <f t="shared" si="5"/>
        <v>58</v>
      </c>
      <c r="H36" s="51">
        <v>2</v>
      </c>
      <c r="I36" s="53"/>
      <c r="J36" s="53">
        <f t="shared" si="1"/>
        <v>104</v>
      </c>
      <c r="K36" s="51">
        <v>1</v>
      </c>
      <c r="L36" s="53"/>
      <c r="M36" s="53">
        <f t="shared" si="4"/>
        <v>27</v>
      </c>
      <c r="N36" s="51">
        <f t="shared" si="2"/>
        <v>9</v>
      </c>
      <c r="O36" s="53"/>
      <c r="P36" s="54">
        <f t="shared" si="3"/>
        <v>351</v>
      </c>
    </row>
    <row r="37" spans="1:16" x14ac:dyDescent="0.2">
      <c r="A37" s="17">
        <v>1998</v>
      </c>
      <c r="B37" s="51">
        <v>5</v>
      </c>
      <c r="C37" s="53"/>
      <c r="D37" s="52">
        <f t="shared" si="0"/>
        <v>167</v>
      </c>
      <c r="E37" s="51">
        <v>3</v>
      </c>
      <c r="F37" s="53"/>
      <c r="G37" s="53">
        <f t="shared" si="5"/>
        <v>61</v>
      </c>
      <c r="H37" s="51">
        <v>2</v>
      </c>
      <c r="I37" s="53"/>
      <c r="J37" s="53">
        <f t="shared" si="1"/>
        <v>106</v>
      </c>
      <c r="K37" s="51"/>
      <c r="L37" s="53"/>
      <c r="M37" s="53">
        <f t="shared" si="4"/>
        <v>27</v>
      </c>
      <c r="N37" s="51">
        <f t="shared" si="2"/>
        <v>10</v>
      </c>
      <c r="O37" s="53"/>
      <c r="P37" s="54">
        <f t="shared" si="3"/>
        <v>361</v>
      </c>
    </row>
    <row r="38" spans="1:16" x14ac:dyDescent="0.2">
      <c r="A38" s="18">
        <v>1999</v>
      </c>
      <c r="B38" s="55">
        <v>3</v>
      </c>
      <c r="C38" s="57"/>
      <c r="D38" s="56">
        <f t="shared" si="0"/>
        <v>170</v>
      </c>
      <c r="E38" s="55">
        <v>3</v>
      </c>
      <c r="F38" s="57"/>
      <c r="G38" s="57">
        <f t="shared" si="5"/>
        <v>64</v>
      </c>
      <c r="H38" s="55">
        <v>1</v>
      </c>
      <c r="I38" s="57"/>
      <c r="J38" s="57">
        <f t="shared" si="1"/>
        <v>107</v>
      </c>
      <c r="K38" s="55"/>
      <c r="L38" s="57"/>
      <c r="M38" s="57">
        <f t="shared" si="4"/>
        <v>27</v>
      </c>
      <c r="N38" s="55">
        <f t="shared" si="2"/>
        <v>7</v>
      </c>
      <c r="O38" s="57"/>
      <c r="P38" s="58">
        <f t="shared" si="3"/>
        <v>368</v>
      </c>
    </row>
    <row r="39" spans="1:16" s="7" customFormat="1" ht="18.75" customHeight="1" x14ac:dyDescent="0.2">
      <c r="A39" s="17">
        <v>2000</v>
      </c>
      <c r="B39" s="51">
        <v>2</v>
      </c>
      <c r="C39" s="53"/>
      <c r="D39" s="52">
        <f t="shared" si="0"/>
        <v>172</v>
      </c>
      <c r="E39" s="51">
        <v>4</v>
      </c>
      <c r="F39" s="53"/>
      <c r="G39" s="53">
        <f t="shared" si="5"/>
        <v>68</v>
      </c>
      <c r="H39" s="51">
        <v>3</v>
      </c>
      <c r="I39" s="53"/>
      <c r="J39" s="53">
        <f t="shared" si="1"/>
        <v>110</v>
      </c>
      <c r="K39" s="51"/>
      <c r="L39" s="53"/>
      <c r="M39" s="53">
        <f t="shared" si="4"/>
        <v>27</v>
      </c>
      <c r="N39" s="51">
        <f t="shared" si="2"/>
        <v>9</v>
      </c>
      <c r="O39" s="53"/>
      <c r="P39" s="54">
        <f t="shared" si="3"/>
        <v>377</v>
      </c>
    </row>
    <row r="40" spans="1:16" x14ac:dyDescent="0.2">
      <c r="A40" s="17">
        <v>2001</v>
      </c>
      <c r="B40" s="51">
        <v>2</v>
      </c>
      <c r="C40" s="53"/>
      <c r="D40" s="52">
        <f t="shared" si="0"/>
        <v>174</v>
      </c>
      <c r="E40" s="51">
        <v>5</v>
      </c>
      <c r="F40" s="53"/>
      <c r="G40" s="53">
        <f t="shared" si="5"/>
        <v>73</v>
      </c>
      <c r="H40" s="51">
        <v>3</v>
      </c>
      <c r="I40" s="53"/>
      <c r="J40" s="53">
        <f t="shared" si="1"/>
        <v>113</v>
      </c>
      <c r="K40" s="51"/>
      <c r="L40" s="53"/>
      <c r="M40" s="53">
        <f t="shared" si="4"/>
        <v>27</v>
      </c>
      <c r="N40" s="51">
        <f t="shared" si="2"/>
        <v>10</v>
      </c>
      <c r="O40" s="53"/>
      <c r="P40" s="54">
        <f t="shared" si="3"/>
        <v>387</v>
      </c>
    </row>
    <row r="41" spans="1:16" x14ac:dyDescent="0.2">
      <c r="A41" s="17">
        <v>2002</v>
      </c>
      <c r="B41" s="51">
        <v>1</v>
      </c>
      <c r="C41" s="53"/>
      <c r="D41" s="52">
        <f t="shared" si="0"/>
        <v>175</v>
      </c>
      <c r="E41" s="51">
        <v>3</v>
      </c>
      <c r="F41" s="53"/>
      <c r="G41" s="53">
        <f t="shared" si="5"/>
        <v>76</v>
      </c>
      <c r="H41" s="51">
        <v>4</v>
      </c>
      <c r="I41" s="53"/>
      <c r="J41" s="53">
        <f t="shared" si="1"/>
        <v>117</v>
      </c>
      <c r="K41" s="51">
        <v>1</v>
      </c>
      <c r="L41" s="53"/>
      <c r="M41" s="53">
        <f t="shared" si="4"/>
        <v>28</v>
      </c>
      <c r="N41" s="51">
        <f t="shared" si="2"/>
        <v>9</v>
      </c>
      <c r="O41" s="53"/>
      <c r="P41" s="54">
        <f t="shared" si="3"/>
        <v>396</v>
      </c>
    </row>
    <row r="42" spans="1:16" x14ac:dyDescent="0.2">
      <c r="A42" s="17">
        <v>2003</v>
      </c>
      <c r="B42" s="51">
        <v>1</v>
      </c>
      <c r="C42" s="53"/>
      <c r="D42" s="52">
        <f t="shared" si="0"/>
        <v>176</v>
      </c>
      <c r="E42" s="51">
        <v>7</v>
      </c>
      <c r="F42" s="53"/>
      <c r="G42" s="53">
        <f t="shared" si="5"/>
        <v>83</v>
      </c>
      <c r="H42" s="51">
        <v>2</v>
      </c>
      <c r="I42" s="53"/>
      <c r="J42" s="53">
        <f t="shared" si="1"/>
        <v>119</v>
      </c>
      <c r="K42" s="51"/>
      <c r="L42" s="53"/>
      <c r="M42" s="53">
        <f t="shared" si="4"/>
        <v>28</v>
      </c>
      <c r="N42" s="51">
        <f t="shared" si="2"/>
        <v>10</v>
      </c>
      <c r="O42" s="53"/>
      <c r="P42" s="54">
        <f t="shared" si="3"/>
        <v>406</v>
      </c>
    </row>
    <row r="43" spans="1:16" x14ac:dyDescent="0.2">
      <c r="A43" s="17">
        <v>2004</v>
      </c>
      <c r="B43" s="51">
        <v>3</v>
      </c>
      <c r="C43" s="53"/>
      <c r="D43" s="130">
        <f t="shared" si="0"/>
        <v>179</v>
      </c>
      <c r="E43" s="51">
        <f>1+1</f>
        <v>2</v>
      </c>
      <c r="F43" s="53"/>
      <c r="G43" s="53">
        <f t="shared" si="5"/>
        <v>85</v>
      </c>
      <c r="H43" s="51">
        <v>3</v>
      </c>
      <c r="I43" s="53"/>
      <c r="J43" s="53">
        <f t="shared" si="1"/>
        <v>122</v>
      </c>
      <c r="K43" s="51"/>
      <c r="L43" s="53"/>
      <c r="M43" s="53">
        <f t="shared" si="4"/>
        <v>28</v>
      </c>
      <c r="N43" s="51">
        <f t="shared" si="2"/>
        <v>8</v>
      </c>
      <c r="O43" s="53"/>
      <c r="P43" s="54">
        <f t="shared" si="3"/>
        <v>414</v>
      </c>
    </row>
    <row r="44" spans="1:16" s="67" customFormat="1" x14ac:dyDescent="0.2">
      <c r="A44" s="17">
        <v>2005</v>
      </c>
      <c r="B44" s="51">
        <f>0+0+0+1</f>
        <v>1</v>
      </c>
      <c r="C44" s="53"/>
      <c r="D44" s="130">
        <f t="shared" si="0"/>
        <v>180</v>
      </c>
      <c r="E44" s="51">
        <f>0+2+1+1</f>
        <v>4</v>
      </c>
      <c r="F44" s="53"/>
      <c r="G44" s="53">
        <f t="shared" si="5"/>
        <v>89</v>
      </c>
      <c r="H44" s="64">
        <f>1+0+1+0</f>
        <v>2</v>
      </c>
      <c r="I44" s="71"/>
      <c r="J44" s="53">
        <f t="shared" si="1"/>
        <v>124</v>
      </c>
      <c r="K44" s="140">
        <f t="shared" ref="K44:K49" si="6">0+0+0+0</f>
        <v>0</v>
      </c>
      <c r="L44" s="423"/>
      <c r="M44" s="131">
        <f t="shared" si="4"/>
        <v>28</v>
      </c>
      <c r="N44" s="51">
        <f t="shared" ref="N44:N49" si="7">B44+E44+H44+K44</f>
        <v>7</v>
      </c>
      <c r="O44" s="53"/>
      <c r="P44" s="54">
        <f t="shared" ref="P44:P49" si="8">P43+N44</f>
        <v>421</v>
      </c>
    </row>
    <row r="45" spans="1:16" s="67" customFormat="1" x14ac:dyDescent="0.2">
      <c r="A45" s="17">
        <v>2006</v>
      </c>
      <c r="B45" s="51">
        <f>0+0+0+0</f>
        <v>0</v>
      </c>
      <c r="C45" s="53"/>
      <c r="D45" s="130">
        <f t="shared" ref="D45:D50" si="9">D44+B45</f>
        <v>180</v>
      </c>
      <c r="E45" s="51">
        <f>1+0+3+2</f>
        <v>6</v>
      </c>
      <c r="F45" s="53"/>
      <c r="G45" s="53">
        <f t="shared" ref="G45:G50" si="10">G44+E45</f>
        <v>95</v>
      </c>
      <c r="H45" s="64">
        <f>0+0+0+0</f>
        <v>0</v>
      </c>
      <c r="I45" s="71"/>
      <c r="J45" s="53">
        <f t="shared" ref="J45:J50" si="11">J44+H45</f>
        <v>124</v>
      </c>
      <c r="K45" s="140">
        <f t="shared" si="6"/>
        <v>0</v>
      </c>
      <c r="L45" s="423"/>
      <c r="M45" s="131">
        <f t="shared" ref="M45:M50" si="12">M44+K45</f>
        <v>28</v>
      </c>
      <c r="N45" s="51">
        <f t="shared" si="7"/>
        <v>6</v>
      </c>
      <c r="O45" s="53"/>
      <c r="P45" s="54">
        <f t="shared" si="8"/>
        <v>427</v>
      </c>
    </row>
    <row r="46" spans="1:16" s="67" customFormat="1" x14ac:dyDescent="0.2">
      <c r="A46" s="17">
        <v>2007</v>
      </c>
      <c r="B46" s="51">
        <f>0+1+0+0</f>
        <v>1</v>
      </c>
      <c r="C46" s="53"/>
      <c r="D46" s="130">
        <f t="shared" si="9"/>
        <v>181</v>
      </c>
      <c r="E46" s="51">
        <f>3+2+3+0</f>
        <v>8</v>
      </c>
      <c r="F46" s="53"/>
      <c r="G46" s="53">
        <f t="shared" si="10"/>
        <v>103</v>
      </c>
      <c r="H46" s="64">
        <f>0+0+1+0</f>
        <v>1</v>
      </c>
      <c r="I46" s="71"/>
      <c r="J46" s="53">
        <f t="shared" si="11"/>
        <v>125</v>
      </c>
      <c r="K46" s="140">
        <f t="shared" si="6"/>
        <v>0</v>
      </c>
      <c r="L46" s="423"/>
      <c r="M46" s="131">
        <f t="shared" si="12"/>
        <v>28</v>
      </c>
      <c r="N46" s="51">
        <f t="shared" si="7"/>
        <v>10</v>
      </c>
      <c r="O46" s="53"/>
      <c r="P46" s="54">
        <f t="shared" si="8"/>
        <v>437</v>
      </c>
    </row>
    <row r="47" spans="1:16" s="67" customFormat="1" x14ac:dyDescent="0.2">
      <c r="A47" s="17">
        <v>2008</v>
      </c>
      <c r="B47" s="51">
        <f>1+0+1+1</f>
        <v>3</v>
      </c>
      <c r="C47" s="53"/>
      <c r="D47" s="130">
        <f t="shared" si="9"/>
        <v>184</v>
      </c>
      <c r="E47" s="51">
        <f>1+0+3+3</f>
        <v>7</v>
      </c>
      <c r="F47" s="53"/>
      <c r="G47" s="53">
        <f t="shared" si="10"/>
        <v>110</v>
      </c>
      <c r="H47" s="64">
        <f>0+0+0+0</f>
        <v>0</v>
      </c>
      <c r="I47" s="71"/>
      <c r="J47" s="53">
        <f t="shared" si="11"/>
        <v>125</v>
      </c>
      <c r="K47" s="140">
        <f t="shared" si="6"/>
        <v>0</v>
      </c>
      <c r="L47" s="423"/>
      <c r="M47" s="131">
        <f t="shared" si="12"/>
        <v>28</v>
      </c>
      <c r="N47" s="51">
        <f t="shared" si="7"/>
        <v>10</v>
      </c>
      <c r="O47" s="53"/>
      <c r="P47" s="54">
        <f t="shared" si="8"/>
        <v>447</v>
      </c>
    </row>
    <row r="48" spans="1:16" s="67" customFormat="1" x14ac:dyDescent="0.2">
      <c r="A48" s="17">
        <v>2009</v>
      </c>
      <c r="B48" s="51">
        <f>1+1+0+2</f>
        <v>4</v>
      </c>
      <c r="C48" s="53"/>
      <c r="D48" s="130">
        <f t="shared" si="9"/>
        <v>188</v>
      </c>
      <c r="E48" s="51">
        <f>2+3+5+0</f>
        <v>10</v>
      </c>
      <c r="F48" s="53"/>
      <c r="G48" s="53">
        <f t="shared" si="10"/>
        <v>120</v>
      </c>
      <c r="H48" s="140">
        <f>1+2+1+2</f>
        <v>6</v>
      </c>
      <c r="I48" s="423"/>
      <c r="J48" s="53">
        <f t="shared" si="11"/>
        <v>131</v>
      </c>
      <c r="K48" s="140">
        <f t="shared" si="6"/>
        <v>0</v>
      </c>
      <c r="L48" s="423"/>
      <c r="M48" s="131">
        <f t="shared" si="12"/>
        <v>28</v>
      </c>
      <c r="N48" s="51">
        <f t="shared" si="7"/>
        <v>20</v>
      </c>
      <c r="O48" s="53"/>
      <c r="P48" s="54">
        <f t="shared" si="8"/>
        <v>467</v>
      </c>
    </row>
    <row r="49" spans="1:16" s="67" customFormat="1" x14ac:dyDescent="0.2">
      <c r="A49" s="17">
        <v>2010</v>
      </c>
      <c r="B49" s="51">
        <f>1+0+0+0</f>
        <v>1</v>
      </c>
      <c r="C49" s="53"/>
      <c r="D49" s="130">
        <f t="shared" si="9"/>
        <v>189</v>
      </c>
      <c r="E49" s="51">
        <f>4+3+5+3</f>
        <v>15</v>
      </c>
      <c r="F49" s="53"/>
      <c r="G49" s="53">
        <f t="shared" si="10"/>
        <v>135</v>
      </c>
      <c r="H49" s="140">
        <f>2+2+5+1</f>
        <v>10</v>
      </c>
      <c r="I49" s="423"/>
      <c r="J49" s="53">
        <f t="shared" si="11"/>
        <v>141</v>
      </c>
      <c r="K49" s="140">
        <f t="shared" si="6"/>
        <v>0</v>
      </c>
      <c r="L49" s="423"/>
      <c r="M49" s="131">
        <f t="shared" si="12"/>
        <v>28</v>
      </c>
      <c r="N49" s="51">
        <f t="shared" si="7"/>
        <v>26</v>
      </c>
      <c r="O49" s="53"/>
      <c r="P49" s="54">
        <f t="shared" si="8"/>
        <v>493</v>
      </c>
    </row>
    <row r="50" spans="1:16" s="165" customFormat="1" x14ac:dyDescent="0.2">
      <c r="A50" s="157">
        <v>2011</v>
      </c>
      <c r="B50" s="161">
        <f>0+2+2+1</f>
        <v>5</v>
      </c>
      <c r="C50" s="126"/>
      <c r="D50" s="166">
        <f t="shared" si="9"/>
        <v>194</v>
      </c>
      <c r="E50" s="161">
        <f>5+8+2+7</f>
        <v>22</v>
      </c>
      <c r="F50" s="126"/>
      <c r="G50" s="126">
        <f t="shared" si="10"/>
        <v>157</v>
      </c>
      <c r="H50" s="167">
        <f>0+2+4+2</f>
        <v>8</v>
      </c>
      <c r="I50" s="425"/>
      <c r="J50" s="126">
        <f t="shared" si="11"/>
        <v>149</v>
      </c>
      <c r="K50" s="167">
        <f>0+0</f>
        <v>0</v>
      </c>
      <c r="L50" s="425"/>
      <c r="M50" s="155">
        <f t="shared" si="12"/>
        <v>28</v>
      </c>
      <c r="N50" s="161">
        <f t="shared" ref="N50:N55" si="13">B50+E50+H50+K50</f>
        <v>35</v>
      </c>
      <c r="O50" s="126"/>
      <c r="P50" s="133">
        <f t="shared" ref="P50:P55" si="14">P49+N50</f>
        <v>528</v>
      </c>
    </row>
    <row r="51" spans="1:16" s="165" customFormat="1" x14ac:dyDescent="0.2">
      <c r="A51" s="157">
        <v>2012</v>
      </c>
      <c r="B51" s="161">
        <f>0+1+0+1+1</f>
        <v>3</v>
      </c>
      <c r="C51" s="126"/>
      <c r="D51" s="166">
        <f t="shared" ref="D51:D56" si="15">D50+B51</f>
        <v>197</v>
      </c>
      <c r="E51" s="161">
        <f>1+10+1+4</f>
        <v>16</v>
      </c>
      <c r="F51" s="126"/>
      <c r="G51" s="126">
        <f t="shared" ref="G51:G56" si="16">G50+E51</f>
        <v>173</v>
      </c>
      <c r="H51" s="167">
        <f>3+1+2+3</f>
        <v>9</v>
      </c>
      <c r="I51" s="425"/>
      <c r="J51" s="126">
        <f t="shared" ref="J51:J56" si="17">J50+H51</f>
        <v>158</v>
      </c>
      <c r="K51" s="167">
        <f t="shared" ref="K51:K56" si="18">0+0+0+0</f>
        <v>0</v>
      </c>
      <c r="L51" s="425"/>
      <c r="M51" s="155">
        <f t="shared" ref="M51:M56" si="19">M50+K51</f>
        <v>28</v>
      </c>
      <c r="N51" s="161">
        <f t="shared" si="13"/>
        <v>28</v>
      </c>
      <c r="O51" s="126"/>
      <c r="P51" s="133">
        <f t="shared" si="14"/>
        <v>556</v>
      </c>
    </row>
    <row r="52" spans="1:16" s="187" customFormat="1" x14ac:dyDescent="0.2">
      <c r="A52" s="154">
        <v>2013</v>
      </c>
      <c r="B52" s="163">
        <f>1+1+4+1</f>
        <v>7</v>
      </c>
      <c r="C52" s="155"/>
      <c r="D52" s="166">
        <f t="shared" si="15"/>
        <v>204</v>
      </c>
      <c r="E52" s="163">
        <f>2+2+3+12</f>
        <v>19</v>
      </c>
      <c r="F52" s="155"/>
      <c r="G52" s="155">
        <f t="shared" si="16"/>
        <v>192</v>
      </c>
      <c r="H52" s="167">
        <f>0+4+5+3</f>
        <v>12</v>
      </c>
      <c r="I52" s="425"/>
      <c r="J52" s="155">
        <f t="shared" si="17"/>
        <v>170</v>
      </c>
      <c r="K52" s="167">
        <f t="shared" si="18"/>
        <v>0</v>
      </c>
      <c r="L52" s="425"/>
      <c r="M52" s="155">
        <f t="shared" si="19"/>
        <v>28</v>
      </c>
      <c r="N52" s="163">
        <f t="shared" si="13"/>
        <v>38</v>
      </c>
      <c r="O52" s="155"/>
      <c r="P52" s="141">
        <f t="shared" si="14"/>
        <v>594</v>
      </c>
    </row>
    <row r="53" spans="1:16" s="187" customFormat="1" x14ac:dyDescent="0.2">
      <c r="A53" s="154">
        <v>2014</v>
      </c>
      <c r="B53" s="163">
        <f>3+1+4+1</f>
        <v>9</v>
      </c>
      <c r="C53" s="155"/>
      <c r="D53" s="166">
        <f t="shared" si="15"/>
        <v>213</v>
      </c>
      <c r="E53" s="163">
        <f>4+6+4+4</f>
        <v>18</v>
      </c>
      <c r="F53" s="155"/>
      <c r="G53" s="155">
        <f t="shared" si="16"/>
        <v>210</v>
      </c>
      <c r="H53" s="167">
        <f>4+5+1+1</f>
        <v>11</v>
      </c>
      <c r="I53" s="425"/>
      <c r="J53" s="155">
        <f t="shared" si="17"/>
        <v>181</v>
      </c>
      <c r="K53" s="167">
        <f t="shared" si="18"/>
        <v>0</v>
      </c>
      <c r="L53" s="425"/>
      <c r="M53" s="155">
        <f t="shared" si="19"/>
        <v>28</v>
      </c>
      <c r="N53" s="163">
        <f t="shared" si="13"/>
        <v>38</v>
      </c>
      <c r="O53" s="155"/>
      <c r="P53" s="141">
        <f t="shared" si="14"/>
        <v>632</v>
      </c>
    </row>
    <row r="54" spans="1:16" s="187" customFormat="1" x14ac:dyDescent="0.2">
      <c r="A54" s="154">
        <v>2015</v>
      </c>
      <c r="B54" s="163">
        <f>1+2+4+3</f>
        <v>10</v>
      </c>
      <c r="C54" s="155"/>
      <c r="D54" s="166">
        <f t="shared" si="15"/>
        <v>223</v>
      </c>
      <c r="E54" s="163">
        <f>3+1+2+0</f>
        <v>6</v>
      </c>
      <c r="F54" s="155"/>
      <c r="G54" s="155">
        <f t="shared" si="16"/>
        <v>216</v>
      </c>
      <c r="H54" s="167">
        <f>3+4+4+3</f>
        <v>14</v>
      </c>
      <c r="I54" s="425"/>
      <c r="J54" s="155">
        <f t="shared" si="17"/>
        <v>195</v>
      </c>
      <c r="K54" s="167">
        <f t="shared" si="18"/>
        <v>0</v>
      </c>
      <c r="L54" s="425"/>
      <c r="M54" s="155">
        <f t="shared" si="19"/>
        <v>28</v>
      </c>
      <c r="N54" s="163">
        <f t="shared" si="13"/>
        <v>30</v>
      </c>
      <c r="O54" s="155"/>
      <c r="P54" s="141">
        <f t="shared" si="14"/>
        <v>662</v>
      </c>
    </row>
    <row r="55" spans="1:16" s="224" customFormat="1" x14ac:dyDescent="0.2">
      <c r="A55" s="150">
        <v>2016</v>
      </c>
      <c r="B55" s="173">
        <f>2+2+4+1</f>
        <v>9</v>
      </c>
      <c r="C55" s="174"/>
      <c r="D55" s="225">
        <f t="shared" si="15"/>
        <v>232</v>
      </c>
      <c r="E55" s="173">
        <f>1+4+3+1</f>
        <v>9</v>
      </c>
      <c r="F55" s="174"/>
      <c r="G55" s="174">
        <f t="shared" si="16"/>
        <v>225</v>
      </c>
      <c r="H55" s="227">
        <f>1+2+3+0</f>
        <v>6</v>
      </c>
      <c r="I55" s="203"/>
      <c r="J55" s="174">
        <f t="shared" si="17"/>
        <v>201</v>
      </c>
      <c r="K55" s="227">
        <f t="shared" si="18"/>
        <v>0</v>
      </c>
      <c r="L55" s="203"/>
      <c r="M55" s="174">
        <f t="shared" si="19"/>
        <v>28</v>
      </c>
      <c r="N55" s="173">
        <f t="shared" si="13"/>
        <v>24</v>
      </c>
      <c r="O55" s="174"/>
      <c r="P55" s="149">
        <f t="shared" si="14"/>
        <v>686</v>
      </c>
    </row>
    <row r="56" spans="1:16" s="187" customFormat="1" x14ac:dyDescent="0.2">
      <c r="A56" s="150">
        <v>2017</v>
      </c>
      <c r="B56" s="163">
        <f>3+3+2+2</f>
        <v>10</v>
      </c>
      <c r="C56" s="155"/>
      <c r="D56" s="166">
        <f t="shared" si="15"/>
        <v>242</v>
      </c>
      <c r="E56" s="163">
        <f>2+1+2+2</f>
        <v>7</v>
      </c>
      <c r="F56" s="155"/>
      <c r="G56" s="155">
        <f t="shared" si="16"/>
        <v>232</v>
      </c>
      <c r="H56" s="167">
        <f>3+3+0+2</f>
        <v>8</v>
      </c>
      <c r="I56" s="425"/>
      <c r="J56" s="155">
        <f t="shared" si="17"/>
        <v>209</v>
      </c>
      <c r="K56" s="167">
        <f t="shared" si="18"/>
        <v>0</v>
      </c>
      <c r="L56" s="425"/>
      <c r="M56" s="155">
        <f t="shared" si="19"/>
        <v>28</v>
      </c>
      <c r="N56" s="163">
        <f t="shared" ref="N56:N61" si="20">B56+E56+H56+K56</f>
        <v>25</v>
      </c>
      <c r="O56" s="155"/>
      <c r="P56" s="141">
        <f t="shared" ref="P56:P61" si="21">P55+N56</f>
        <v>711</v>
      </c>
    </row>
    <row r="57" spans="1:16" s="224" customFormat="1" x14ac:dyDescent="0.2">
      <c r="A57" s="150">
        <v>2018</v>
      </c>
      <c r="B57" s="173">
        <f>1+2+2+4</f>
        <v>9</v>
      </c>
      <c r="C57" s="174"/>
      <c r="D57" s="225">
        <f t="shared" ref="D57:D62" si="22">D56+B57</f>
        <v>251</v>
      </c>
      <c r="E57" s="173">
        <f>1+1+0+0</f>
        <v>2</v>
      </c>
      <c r="F57" s="174"/>
      <c r="G57" s="174">
        <f t="shared" ref="G57:G62" si="23">G56+E57</f>
        <v>234</v>
      </c>
      <c r="H57" s="227">
        <f>0+2+1+3</f>
        <v>6</v>
      </c>
      <c r="I57" s="203"/>
      <c r="J57" s="174">
        <f t="shared" ref="J57:J62" si="24">J56+H57</f>
        <v>215</v>
      </c>
      <c r="K57" s="227">
        <f>0+1+0+0</f>
        <v>1</v>
      </c>
      <c r="L57" s="203"/>
      <c r="M57" s="174">
        <f t="shared" ref="M57:M62" si="25">M56+K57</f>
        <v>29</v>
      </c>
      <c r="N57" s="173">
        <f t="shared" si="20"/>
        <v>18</v>
      </c>
      <c r="O57" s="174"/>
      <c r="P57" s="149">
        <f t="shared" si="21"/>
        <v>729</v>
      </c>
    </row>
    <row r="58" spans="1:16" s="187" customFormat="1" x14ac:dyDescent="0.2">
      <c r="A58" s="150">
        <v>2019</v>
      </c>
      <c r="B58" s="163">
        <f>4+1+1+2</f>
        <v>8</v>
      </c>
      <c r="C58" s="155"/>
      <c r="D58" s="166">
        <f t="shared" si="22"/>
        <v>259</v>
      </c>
      <c r="E58" s="163">
        <f>3+0+1+1</f>
        <v>5</v>
      </c>
      <c r="F58" s="155"/>
      <c r="G58" s="155">
        <f t="shared" si="23"/>
        <v>239</v>
      </c>
      <c r="H58" s="167">
        <f>0+1+0+1</f>
        <v>2</v>
      </c>
      <c r="I58" s="425"/>
      <c r="J58" s="155">
        <f t="shared" si="24"/>
        <v>217</v>
      </c>
      <c r="K58" s="167">
        <f>1+1+2+4</f>
        <v>8</v>
      </c>
      <c r="L58" s="425"/>
      <c r="M58" s="155">
        <f t="shared" si="25"/>
        <v>37</v>
      </c>
      <c r="N58" s="163">
        <f t="shared" si="20"/>
        <v>23</v>
      </c>
      <c r="O58" s="155"/>
      <c r="P58" s="141">
        <f t="shared" si="21"/>
        <v>752</v>
      </c>
    </row>
    <row r="59" spans="1:16" s="187" customFormat="1" x14ac:dyDescent="0.2">
      <c r="A59" s="150">
        <v>2020</v>
      </c>
      <c r="B59" s="163">
        <f>0+0+5+2</f>
        <v>7</v>
      </c>
      <c r="C59" s="155"/>
      <c r="D59" s="166">
        <f t="shared" si="22"/>
        <v>266</v>
      </c>
      <c r="E59" s="182">
        <f>0+0+0+0</f>
        <v>0</v>
      </c>
      <c r="F59" s="179"/>
      <c r="G59" s="155">
        <f t="shared" si="23"/>
        <v>239</v>
      </c>
      <c r="H59" s="167">
        <f>0+0+2+1</f>
        <v>3</v>
      </c>
      <c r="I59" s="425"/>
      <c r="J59" s="155">
        <f t="shared" si="24"/>
        <v>220</v>
      </c>
      <c r="K59" s="167">
        <f>0+2+1+0</f>
        <v>3</v>
      </c>
      <c r="L59" s="425"/>
      <c r="M59" s="155">
        <f t="shared" si="25"/>
        <v>40</v>
      </c>
      <c r="N59" s="163">
        <f t="shared" si="20"/>
        <v>13</v>
      </c>
      <c r="O59" s="155"/>
      <c r="P59" s="141">
        <f t="shared" si="21"/>
        <v>765</v>
      </c>
    </row>
    <row r="60" spans="1:16" s="187" customFormat="1" x14ac:dyDescent="0.2">
      <c r="A60" s="150">
        <v>2021</v>
      </c>
      <c r="B60" s="163">
        <f>1+0+1+1</f>
        <v>3</v>
      </c>
      <c r="C60" s="155"/>
      <c r="D60" s="166">
        <f t="shared" si="22"/>
        <v>269</v>
      </c>
      <c r="E60" s="163">
        <f>2+0+0+0</f>
        <v>2</v>
      </c>
      <c r="F60" s="155"/>
      <c r="G60" s="155">
        <f t="shared" si="23"/>
        <v>241</v>
      </c>
      <c r="H60" s="167">
        <f>0+0+3+2</f>
        <v>5</v>
      </c>
      <c r="I60" s="425"/>
      <c r="J60" s="155">
        <f t="shared" si="24"/>
        <v>225</v>
      </c>
      <c r="K60" s="167">
        <f>1+1+0+1</f>
        <v>3</v>
      </c>
      <c r="L60" s="425"/>
      <c r="M60" s="155">
        <f t="shared" si="25"/>
        <v>43</v>
      </c>
      <c r="N60" s="163">
        <f t="shared" si="20"/>
        <v>13</v>
      </c>
      <c r="O60" s="155"/>
      <c r="P60" s="141">
        <f t="shared" si="21"/>
        <v>778</v>
      </c>
    </row>
    <row r="61" spans="1:16" s="187" customFormat="1" x14ac:dyDescent="0.2">
      <c r="A61" s="150">
        <v>2022</v>
      </c>
      <c r="B61" s="182">
        <v>5</v>
      </c>
      <c r="C61" s="179">
        <v>1</v>
      </c>
      <c r="D61" s="183">
        <f t="shared" si="22"/>
        <v>274</v>
      </c>
      <c r="E61" s="182">
        <f>1+1+0+0</f>
        <v>2</v>
      </c>
      <c r="F61" s="179"/>
      <c r="G61" s="179">
        <f t="shared" si="23"/>
        <v>243</v>
      </c>
      <c r="H61" s="185">
        <f>2+0+2+2</f>
        <v>6</v>
      </c>
      <c r="I61" s="154"/>
      <c r="J61" s="179">
        <f t="shared" si="24"/>
        <v>231</v>
      </c>
      <c r="K61" s="185">
        <f>1+2+0+1</f>
        <v>4</v>
      </c>
      <c r="L61" s="154"/>
      <c r="M61" s="179">
        <f t="shared" si="25"/>
        <v>47</v>
      </c>
      <c r="N61" s="182">
        <f t="shared" si="20"/>
        <v>17</v>
      </c>
      <c r="O61" s="179"/>
      <c r="P61" s="181">
        <f t="shared" si="21"/>
        <v>795</v>
      </c>
    </row>
    <row r="62" spans="1:16" s="187" customFormat="1" x14ac:dyDescent="0.2">
      <c r="A62" s="150">
        <v>2023</v>
      </c>
      <c r="B62" s="182">
        <f>4+2+1+4</f>
        <v>11</v>
      </c>
      <c r="C62" s="179"/>
      <c r="D62" s="183">
        <f t="shared" si="22"/>
        <v>285</v>
      </c>
      <c r="E62" s="182">
        <f>3+0+2+1</f>
        <v>6</v>
      </c>
      <c r="F62" s="179"/>
      <c r="G62" s="179">
        <f t="shared" si="23"/>
        <v>249</v>
      </c>
      <c r="H62" s="185">
        <f>0+1+2+0</f>
        <v>3</v>
      </c>
      <c r="I62" s="154"/>
      <c r="J62" s="179">
        <f t="shared" si="24"/>
        <v>234</v>
      </c>
      <c r="K62" s="185">
        <v>1</v>
      </c>
      <c r="L62" s="154">
        <v>2</v>
      </c>
      <c r="M62" s="179">
        <f t="shared" si="25"/>
        <v>48</v>
      </c>
      <c r="N62" s="182">
        <f>B62+E62+H62+K62</f>
        <v>21</v>
      </c>
      <c r="O62" s="179">
        <f>C62+F62+I62+L62</f>
        <v>2</v>
      </c>
      <c r="P62" s="181">
        <f>P61+N62+O62</f>
        <v>818</v>
      </c>
    </row>
    <row r="63" spans="1:16" x14ac:dyDescent="0.2">
      <c r="A63" s="221">
        <v>2024</v>
      </c>
      <c r="B63" s="51">
        <f>1+3+0+0</f>
        <v>4</v>
      </c>
      <c r="C63" s="53">
        <f>1+0+1+0</f>
        <v>2</v>
      </c>
      <c r="D63" s="183">
        <f>D62+B63+C63</f>
        <v>291</v>
      </c>
      <c r="E63" s="51">
        <f>1+0+0+1</f>
        <v>2</v>
      </c>
      <c r="F63" s="53">
        <f>0+0+0+0</f>
        <v>0</v>
      </c>
      <c r="G63" s="179">
        <f>G62+E63+F63</f>
        <v>251</v>
      </c>
      <c r="H63" s="64">
        <f>1+0+4+0</f>
        <v>5</v>
      </c>
      <c r="I63" s="71">
        <f>0+0+0+0</f>
        <v>0</v>
      </c>
      <c r="J63" s="179">
        <f>J62+H63+I63</f>
        <v>239</v>
      </c>
      <c r="K63" s="64">
        <f>1+1+1+1</f>
        <v>4</v>
      </c>
      <c r="L63" s="71">
        <f>0+0+0+0</f>
        <v>0</v>
      </c>
      <c r="M63" s="179">
        <f>M62+K63+L63</f>
        <v>52</v>
      </c>
      <c r="N63" s="182">
        <f>B63+E63+H63+K63</f>
        <v>15</v>
      </c>
      <c r="O63" s="179">
        <f>C63+F63+I63+L63</f>
        <v>2</v>
      </c>
      <c r="P63" s="181">
        <f>P62+N63+O63</f>
        <v>835</v>
      </c>
    </row>
    <row r="64" spans="1:16" x14ac:dyDescent="0.2">
      <c r="A64" s="17">
        <v>2025</v>
      </c>
      <c r="B64" s="51"/>
      <c r="C64" s="53"/>
      <c r="D64" s="54"/>
      <c r="E64" s="51"/>
      <c r="F64" s="53"/>
      <c r="G64" s="62"/>
      <c r="H64" s="64"/>
      <c r="I64" s="62"/>
      <c r="J64" s="62"/>
      <c r="K64" s="64"/>
      <c r="L64" s="71"/>
      <c r="M64" s="62"/>
      <c r="N64" s="64"/>
      <c r="O64" s="62"/>
      <c r="P64" s="62"/>
    </row>
    <row r="65" spans="1:16" x14ac:dyDescent="0.2">
      <c r="A65" s="17">
        <v>2026</v>
      </c>
      <c r="B65" s="51"/>
      <c r="C65" s="53"/>
      <c r="D65" s="54"/>
      <c r="E65" s="51"/>
      <c r="F65" s="53"/>
      <c r="G65" s="62"/>
      <c r="H65" s="64"/>
      <c r="I65" s="62"/>
      <c r="J65" s="62"/>
      <c r="K65" s="64"/>
      <c r="L65" s="71"/>
      <c r="M65" s="62"/>
      <c r="N65" s="64"/>
      <c r="O65" s="62"/>
      <c r="P65" s="62"/>
    </row>
    <row r="66" spans="1:16" x14ac:dyDescent="0.2">
      <c r="A66" s="17">
        <v>2027</v>
      </c>
      <c r="B66" s="51"/>
      <c r="C66" s="53"/>
      <c r="D66" s="54"/>
      <c r="E66" s="51"/>
      <c r="F66" s="53"/>
      <c r="G66" s="62"/>
      <c r="H66" s="64"/>
      <c r="I66" s="62"/>
      <c r="J66" s="62"/>
      <c r="K66" s="64"/>
      <c r="L66" s="71"/>
      <c r="M66" s="62"/>
      <c r="N66" s="64"/>
      <c r="O66" s="62"/>
      <c r="P66" s="62"/>
    </row>
    <row r="67" spans="1:16" x14ac:dyDescent="0.2">
      <c r="A67" s="17">
        <v>2028</v>
      </c>
      <c r="B67" s="51"/>
      <c r="C67" s="53"/>
      <c r="D67" s="54"/>
      <c r="E67" s="51"/>
      <c r="F67" s="53"/>
      <c r="G67" s="62"/>
      <c r="H67" s="64"/>
      <c r="I67" s="62"/>
      <c r="J67" s="62"/>
      <c r="K67" s="64"/>
      <c r="L67" s="71"/>
      <c r="M67" s="62"/>
      <c r="N67" s="64"/>
      <c r="O67" s="62"/>
      <c r="P67" s="62"/>
    </row>
    <row r="68" spans="1:16" x14ac:dyDescent="0.2">
      <c r="A68" s="17">
        <v>2029</v>
      </c>
      <c r="B68" s="51"/>
      <c r="C68" s="53"/>
      <c r="D68" s="54"/>
      <c r="E68" s="51"/>
      <c r="F68" s="53"/>
      <c r="G68" s="62"/>
      <c r="H68" s="64"/>
      <c r="I68" s="62"/>
      <c r="J68" s="62"/>
      <c r="K68" s="64"/>
      <c r="L68" s="71"/>
      <c r="M68" s="62"/>
      <c r="N68" s="64"/>
      <c r="O68" s="62"/>
      <c r="P68" s="62"/>
    </row>
    <row r="69" spans="1:16" x14ac:dyDescent="0.2">
      <c r="A69" s="17">
        <v>2030</v>
      </c>
      <c r="B69" s="51"/>
      <c r="C69" s="53"/>
      <c r="D69" s="54"/>
      <c r="E69" s="51"/>
      <c r="F69" s="53"/>
      <c r="G69" s="62"/>
      <c r="H69" s="64"/>
      <c r="I69" s="62"/>
      <c r="J69" s="62"/>
      <c r="K69" s="64"/>
      <c r="L69" s="71"/>
      <c r="M69" s="62"/>
      <c r="N69" s="64"/>
      <c r="O69" s="62"/>
      <c r="P69" s="62"/>
    </row>
    <row r="70" spans="1:16" x14ac:dyDescent="0.2">
      <c r="A70" s="17"/>
      <c r="B70" s="51"/>
      <c r="C70" s="53"/>
      <c r="D70" s="54"/>
      <c r="E70" s="51"/>
      <c r="F70" s="53"/>
      <c r="G70" s="62"/>
      <c r="H70" s="64"/>
      <c r="I70" s="62"/>
      <c r="J70" s="62"/>
      <c r="K70" s="64"/>
      <c r="L70" s="71"/>
      <c r="M70" s="62"/>
      <c r="N70" s="64"/>
      <c r="O70" s="62"/>
      <c r="P70" s="62"/>
    </row>
    <row r="71" spans="1:16" x14ac:dyDescent="0.2">
      <c r="A71" s="17"/>
      <c r="B71" s="51"/>
      <c r="C71" s="53"/>
      <c r="D71" s="54"/>
      <c r="E71" s="51"/>
      <c r="F71" s="53"/>
      <c r="G71" s="62"/>
      <c r="H71" s="64"/>
      <c r="I71" s="62"/>
      <c r="J71" s="62"/>
      <c r="K71" s="64"/>
      <c r="L71" s="71"/>
      <c r="M71" s="62"/>
      <c r="N71" s="64"/>
      <c r="O71" s="62"/>
      <c r="P71" s="62"/>
    </row>
    <row r="72" spans="1:16" x14ac:dyDescent="0.2">
      <c r="A72" s="18"/>
      <c r="B72" s="55"/>
      <c r="C72" s="57"/>
      <c r="D72" s="58"/>
      <c r="E72" s="55"/>
      <c r="F72" s="58"/>
      <c r="G72" s="75"/>
      <c r="H72" s="79"/>
      <c r="I72" s="75"/>
      <c r="J72" s="75"/>
      <c r="K72" s="79"/>
      <c r="L72" s="76"/>
      <c r="M72" s="75"/>
      <c r="N72" s="79"/>
      <c r="O72" s="75"/>
      <c r="P72" s="75"/>
    </row>
    <row r="73" spans="1:16" x14ac:dyDescent="0.2">
      <c r="B73" s="12"/>
      <c r="C73" s="98"/>
      <c r="D73" s="12"/>
    </row>
    <row r="74" spans="1:16" x14ac:dyDescent="0.2">
      <c r="B74" s="12"/>
      <c r="C74" s="98"/>
      <c r="D74" s="12"/>
    </row>
    <row r="75" spans="1:16" x14ac:dyDescent="0.2">
      <c r="B75" s="12"/>
      <c r="C75" s="98"/>
      <c r="D75" s="12"/>
    </row>
    <row r="76" spans="1:16" x14ac:dyDescent="0.2">
      <c r="B76" s="12"/>
      <c r="C76" s="98"/>
      <c r="D76" s="12"/>
    </row>
    <row r="77" spans="1:16" x14ac:dyDescent="0.2">
      <c r="B77" s="12"/>
      <c r="C77" s="98"/>
      <c r="D77" s="12"/>
    </row>
  </sheetData>
  <mergeCells count="5">
    <mergeCell ref="B1:D1"/>
    <mergeCell ref="N1:P1"/>
    <mergeCell ref="E1:G1"/>
    <mergeCell ref="H1:J1"/>
    <mergeCell ref="K1:M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  <ignoredErrors>
    <ignoredError sqref="N24:N45 P48:P50 H46:H49 G46:G50 J49:J50 K49:K53 E43:E49 G43:H45 J43:K48 M46:N5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50"/>
  </sheetPr>
  <dimension ref="A1:K351"/>
  <sheetViews>
    <sheetView showGridLines="0" showZeros="0" zoomScaleNormal="100" workbookViewId="0">
      <pane ySplit="2" topLeftCell="A46" activePane="bottomLeft" state="frozen"/>
      <selection activeCell="K87" sqref="K87"/>
      <selection pane="bottomLeft" activeCell="H63" sqref="H63"/>
    </sheetView>
  </sheetViews>
  <sheetFormatPr defaultColWidth="8.85546875" defaultRowHeight="12.75" x14ac:dyDescent="0.2"/>
  <cols>
    <col min="1" max="1" width="7.42578125" style="1" customWidth="1"/>
    <col min="2" max="11" width="9.5703125" customWidth="1"/>
  </cols>
  <sheetData>
    <row r="1" spans="1:11" s="6" customFormat="1" ht="20.25" customHeight="1" x14ac:dyDescent="0.2">
      <c r="A1" s="16"/>
      <c r="B1" s="440" t="s">
        <v>4</v>
      </c>
      <c r="C1" s="437"/>
      <c r="D1" s="434" t="s">
        <v>5</v>
      </c>
      <c r="E1" s="435"/>
      <c r="F1" s="434" t="s">
        <v>6</v>
      </c>
      <c r="G1" s="437"/>
      <c r="H1" s="434" t="s">
        <v>7</v>
      </c>
      <c r="I1" s="435"/>
      <c r="J1" s="434" t="s">
        <v>8</v>
      </c>
      <c r="K1" s="436"/>
    </row>
    <row r="2" spans="1:11" s="2" customFormat="1" ht="25.5" customHeight="1" thickBot="1" x14ac:dyDescent="0.25">
      <c r="A2" s="5" t="s">
        <v>9</v>
      </c>
      <c r="B2" s="3" t="s">
        <v>0</v>
      </c>
      <c r="C2" s="4" t="s">
        <v>1</v>
      </c>
      <c r="D2" s="3" t="s">
        <v>0</v>
      </c>
      <c r="E2" s="4" t="s">
        <v>1</v>
      </c>
      <c r="F2" s="3" t="s">
        <v>0</v>
      </c>
      <c r="G2" s="4" t="s">
        <v>1</v>
      </c>
      <c r="H2" s="3" t="s">
        <v>0</v>
      </c>
      <c r="I2" s="4" t="s">
        <v>1</v>
      </c>
      <c r="J2" s="3" t="s">
        <v>0</v>
      </c>
      <c r="K2" s="4" t="s">
        <v>1</v>
      </c>
    </row>
    <row r="3" spans="1:11" s="67" customFormat="1" ht="17.25" customHeight="1" thickTop="1" x14ac:dyDescent="0.2">
      <c r="A3" s="214">
        <v>1964</v>
      </c>
      <c r="B3" s="51"/>
      <c r="C3" s="59"/>
      <c r="D3" s="51"/>
      <c r="E3" s="59"/>
      <c r="F3" s="51"/>
      <c r="G3" s="59"/>
      <c r="H3" s="60"/>
      <c r="I3" s="59"/>
      <c r="J3" s="51"/>
      <c r="K3" s="59"/>
    </row>
    <row r="4" spans="1:11" s="67" customFormat="1" x14ac:dyDescent="0.2">
      <c r="A4" s="214">
        <v>1965</v>
      </c>
      <c r="B4" s="51"/>
      <c r="C4" s="52"/>
      <c r="D4" s="51"/>
      <c r="E4" s="53"/>
      <c r="F4" s="51"/>
      <c r="G4" s="53"/>
      <c r="H4" s="51"/>
      <c r="I4" s="53"/>
      <c r="J4" s="51"/>
      <c r="K4" s="54"/>
    </row>
    <row r="5" spans="1:11" s="67" customFormat="1" x14ac:dyDescent="0.2">
      <c r="A5" s="214">
        <v>1966</v>
      </c>
      <c r="B5" s="51"/>
      <c r="C5" s="52"/>
      <c r="D5" s="51"/>
      <c r="E5" s="53"/>
      <c r="F5" s="51"/>
      <c r="G5" s="53"/>
      <c r="H5" s="51"/>
      <c r="I5" s="53"/>
      <c r="J5" s="51"/>
      <c r="K5" s="54"/>
    </row>
    <row r="6" spans="1:11" s="67" customFormat="1" x14ac:dyDescent="0.2">
      <c r="A6" s="214">
        <v>1967</v>
      </c>
      <c r="B6" s="51"/>
      <c r="C6" s="52"/>
      <c r="D6" s="51"/>
      <c r="E6" s="53"/>
      <c r="F6" s="51"/>
      <c r="G6" s="53"/>
      <c r="H6" s="51"/>
      <c r="I6" s="53"/>
      <c r="J6" s="51"/>
      <c r="K6" s="54"/>
    </row>
    <row r="7" spans="1:11" s="67" customFormat="1" x14ac:dyDescent="0.2">
      <c r="A7" s="214">
        <v>1968</v>
      </c>
      <c r="B7" s="51"/>
      <c r="C7" s="52"/>
      <c r="D7" s="51"/>
      <c r="E7" s="53"/>
      <c r="F7" s="51"/>
      <c r="G7" s="53"/>
      <c r="H7" s="51"/>
      <c r="I7" s="53"/>
      <c r="J7" s="51"/>
      <c r="K7" s="54"/>
    </row>
    <row r="8" spans="1:11" s="67" customFormat="1" x14ac:dyDescent="0.2">
      <c r="A8" s="214">
        <v>1969</v>
      </c>
      <c r="B8" s="51"/>
      <c r="C8" s="52"/>
      <c r="D8" s="51"/>
      <c r="E8" s="53"/>
      <c r="F8" s="51"/>
      <c r="G8" s="53"/>
      <c r="H8" s="51"/>
      <c r="I8" s="53"/>
      <c r="J8" s="51"/>
      <c r="K8" s="54"/>
    </row>
    <row r="9" spans="1:11" s="67" customFormat="1" x14ac:dyDescent="0.2">
      <c r="A9" s="214">
        <v>1970</v>
      </c>
      <c r="B9" s="51"/>
      <c r="C9" s="52"/>
      <c r="D9" s="51"/>
      <c r="E9" s="53"/>
      <c r="F9" s="51"/>
      <c r="G9" s="53"/>
      <c r="H9" s="51"/>
      <c r="I9" s="53"/>
      <c r="J9" s="51"/>
      <c r="K9" s="54"/>
    </row>
    <row r="10" spans="1:11" s="67" customFormat="1" x14ac:dyDescent="0.2">
      <c r="A10" s="214">
        <v>1971</v>
      </c>
      <c r="B10" s="51"/>
      <c r="C10" s="52"/>
      <c r="D10" s="51"/>
      <c r="E10" s="53"/>
      <c r="F10" s="51"/>
      <c r="G10" s="53"/>
      <c r="H10" s="51"/>
      <c r="I10" s="53"/>
      <c r="J10" s="51"/>
      <c r="K10" s="54"/>
    </row>
    <row r="11" spans="1:11" s="67" customFormat="1" x14ac:dyDescent="0.2">
      <c r="A11" s="214">
        <v>1972</v>
      </c>
      <c r="B11" s="51"/>
      <c r="C11" s="52"/>
      <c r="D11" s="51"/>
      <c r="E11" s="53"/>
      <c r="F11" s="51"/>
      <c r="G11" s="53"/>
      <c r="H11" s="51"/>
      <c r="I11" s="53"/>
      <c r="J11" s="51"/>
      <c r="K11" s="54"/>
    </row>
    <row r="12" spans="1:11" s="67" customFormat="1" x14ac:dyDescent="0.2">
      <c r="A12" s="214">
        <v>1973</v>
      </c>
      <c r="B12" s="51"/>
      <c r="C12" s="52"/>
      <c r="D12" s="51"/>
      <c r="E12" s="53"/>
      <c r="F12" s="51"/>
      <c r="G12" s="53"/>
      <c r="H12" s="51"/>
      <c r="I12" s="53"/>
      <c r="J12" s="51"/>
      <c r="K12" s="54"/>
    </row>
    <row r="13" spans="1:11" s="67" customFormat="1" x14ac:dyDescent="0.2">
      <c r="A13" s="214">
        <v>1974</v>
      </c>
      <c r="B13" s="51"/>
      <c r="C13" s="52"/>
      <c r="D13" s="51"/>
      <c r="E13" s="53"/>
      <c r="F13" s="51"/>
      <c r="G13" s="53"/>
      <c r="H13" s="51"/>
      <c r="I13" s="53"/>
      <c r="J13" s="51"/>
      <c r="K13" s="54"/>
    </row>
    <row r="14" spans="1:11" s="67" customFormat="1" x14ac:dyDescent="0.2">
      <c r="A14" s="214">
        <v>1975</v>
      </c>
      <c r="B14" s="51"/>
      <c r="C14" s="52"/>
      <c r="D14" s="51"/>
      <c r="E14" s="53"/>
      <c r="F14" s="51"/>
      <c r="G14" s="53"/>
      <c r="H14" s="51"/>
      <c r="I14" s="53"/>
      <c r="J14" s="51"/>
      <c r="K14" s="54"/>
    </row>
    <row r="15" spans="1:11" s="67" customFormat="1" x14ac:dyDescent="0.2">
      <c r="A15" s="214">
        <v>1976</v>
      </c>
      <c r="B15" s="51"/>
      <c r="C15" s="52"/>
      <c r="D15" s="51"/>
      <c r="E15" s="53"/>
      <c r="F15" s="51"/>
      <c r="G15" s="53"/>
      <c r="H15" s="51"/>
      <c r="I15" s="53"/>
      <c r="J15" s="51"/>
      <c r="K15" s="54"/>
    </row>
    <row r="16" spans="1:11" s="67" customFormat="1" x14ac:dyDescent="0.2">
      <c r="A16" s="214">
        <v>1977</v>
      </c>
      <c r="B16" s="51"/>
      <c r="C16" s="52"/>
      <c r="D16" s="51"/>
      <c r="E16" s="53"/>
      <c r="F16" s="51"/>
      <c r="G16" s="53"/>
      <c r="H16" s="51"/>
      <c r="I16" s="53"/>
      <c r="J16" s="51"/>
      <c r="K16" s="54"/>
    </row>
    <row r="17" spans="1:11" s="67" customFormat="1" x14ac:dyDescent="0.2">
      <c r="A17" s="214">
        <v>1978</v>
      </c>
      <c r="B17" s="51"/>
      <c r="C17" s="52"/>
      <c r="D17" s="51"/>
      <c r="E17" s="53"/>
      <c r="F17" s="51"/>
      <c r="G17" s="53"/>
      <c r="H17" s="51"/>
      <c r="I17" s="53"/>
      <c r="J17" s="51"/>
      <c r="K17" s="54"/>
    </row>
    <row r="18" spans="1:11" s="67" customFormat="1" x14ac:dyDescent="0.2">
      <c r="A18" s="214">
        <v>1979</v>
      </c>
      <c r="B18" s="51"/>
      <c r="C18" s="52"/>
      <c r="D18" s="51"/>
      <c r="E18" s="53"/>
      <c r="F18" s="51"/>
      <c r="G18" s="53"/>
      <c r="H18" s="51"/>
      <c r="I18" s="53"/>
      <c r="J18" s="51"/>
      <c r="K18" s="54"/>
    </row>
    <row r="19" spans="1:11" s="67" customFormat="1" x14ac:dyDescent="0.2">
      <c r="A19" s="214">
        <v>1980</v>
      </c>
      <c r="B19" s="51"/>
      <c r="C19" s="52"/>
      <c r="D19" s="51"/>
      <c r="E19" s="53"/>
      <c r="F19" s="51"/>
      <c r="G19" s="53"/>
      <c r="H19" s="51"/>
      <c r="I19" s="53"/>
      <c r="J19" s="51"/>
      <c r="K19" s="54"/>
    </row>
    <row r="20" spans="1:11" s="67" customFormat="1" x14ac:dyDescent="0.2">
      <c r="A20" s="214">
        <v>1981</v>
      </c>
      <c r="B20" s="51"/>
      <c r="C20" s="52"/>
      <c r="D20" s="51"/>
      <c r="E20" s="53"/>
      <c r="F20" s="51"/>
      <c r="G20" s="53"/>
      <c r="H20" s="51"/>
      <c r="I20" s="53"/>
      <c r="J20" s="51"/>
      <c r="K20" s="54"/>
    </row>
    <row r="21" spans="1:11" s="67" customFormat="1" x14ac:dyDescent="0.2">
      <c r="A21" s="214">
        <v>1982</v>
      </c>
      <c r="B21" s="51"/>
      <c r="C21" s="52"/>
      <c r="D21" s="51"/>
      <c r="E21" s="53"/>
      <c r="F21" s="51"/>
      <c r="G21" s="53"/>
      <c r="H21" s="51"/>
      <c r="I21" s="53"/>
      <c r="J21" s="51"/>
      <c r="K21" s="54"/>
    </row>
    <row r="22" spans="1:11" s="67" customFormat="1" x14ac:dyDescent="0.2">
      <c r="A22" s="214">
        <v>1983</v>
      </c>
      <c r="B22" s="51"/>
      <c r="C22" s="52"/>
      <c r="D22" s="51"/>
      <c r="E22" s="53"/>
      <c r="F22" s="51"/>
      <c r="G22" s="53"/>
      <c r="H22" s="51"/>
      <c r="I22" s="53"/>
      <c r="J22" s="51"/>
      <c r="K22" s="54"/>
    </row>
    <row r="23" spans="1:11" s="67" customFormat="1" x14ac:dyDescent="0.2">
      <c r="A23" s="214">
        <v>1984</v>
      </c>
      <c r="B23" s="51"/>
      <c r="C23" s="52"/>
      <c r="D23" s="51"/>
      <c r="E23" s="53"/>
      <c r="F23" s="51"/>
      <c r="G23" s="53"/>
      <c r="H23" s="51"/>
      <c r="I23" s="53"/>
      <c r="J23" s="51"/>
      <c r="K23" s="54"/>
    </row>
    <row r="24" spans="1:11" s="67" customFormat="1" x14ac:dyDescent="0.2">
      <c r="A24" s="214">
        <v>1985</v>
      </c>
      <c r="B24" s="51"/>
      <c r="C24" s="52"/>
      <c r="D24" s="51"/>
      <c r="E24" s="53"/>
      <c r="F24" s="51"/>
      <c r="G24" s="53"/>
      <c r="H24" s="51"/>
      <c r="I24" s="53"/>
      <c r="J24" s="51"/>
      <c r="K24" s="54"/>
    </row>
    <row r="25" spans="1:11" s="67" customFormat="1" x14ac:dyDescent="0.2">
      <c r="A25" s="214">
        <v>1986</v>
      </c>
      <c r="B25" s="51"/>
      <c r="C25" s="52"/>
      <c r="D25" s="51"/>
      <c r="E25" s="53"/>
      <c r="F25" s="51"/>
      <c r="G25" s="53"/>
      <c r="H25" s="51"/>
      <c r="I25" s="53"/>
      <c r="J25" s="51"/>
      <c r="K25" s="54"/>
    </row>
    <row r="26" spans="1:11" s="67" customFormat="1" x14ac:dyDescent="0.2">
      <c r="A26" s="214">
        <v>1987</v>
      </c>
      <c r="B26" s="51"/>
      <c r="C26" s="52"/>
      <c r="D26" s="51"/>
      <c r="E26" s="53"/>
      <c r="F26" s="51"/>
      <c r="G26" s="53"/>
      <c r="H26" s="51"/>
      <c r="I26" s="53"/>
      <c r="J26" s="51"/>
      <c r="K26" s="54"/>
    </row>
    <row r="27" spans="1:11" s="67" customFormat="1" x14ac:dyDescent="0.2">
      <c r="A27" s="214">
        <v>1988</v>
      </c>
      <c r="B27" s="51"/>
      <c r="C27" s="52"/>
      <c r="D27" s="51"/>
      <c r="E27" s="53"/>
      <c r="F27" s="51"/>
      <c r="G27" s="53"/>
      <c r="H27" s="51"/>
      <c r="I27" s="53"/>
      <c r="J27" s="51"/>
      <c r="K27" s="54"/>
    </row>
    <row r="28" spans="1:11" s="67" customFormat="1" x14ac:dyDescent="0.2">
      <c r="A28" s="214">
        <v>1989</v>
      </c>
      <c r="B28" s="51"/>
      <c r="C28" s="52"/>
      <c r="D28" s="51"/>
      <c r="E28" s="53"/>
      <c r="F28" s="51"/>
      <c r="G28" s="53"/>
      <c r="H28" s="51"/>
      <c r="I28" s="53"/>
      <c r="J28" s="51"/>
      <c r="K28" s="54"/>
    </row>
    <row r="29" spans="1:11" s="67" customFormat="1" x14ac:dyDescent="0.2">
      <c r="A29" s="214">
        <v>1990</v>
      </c>
      <c r="B29" s="51"/>
      <c r="C29" s="52"/>
      <c r="D29" s="51"/>
      <c r="E29" s="53"/>
      <c r="F29" s="51"/>
      <c r="G29" s="53"/>
      <c r="H29" s="51"/>
      <c r="I29" s="53"/>
      <c r="J29" s="51"/>
      <c r="K29" s="54"/>
    </row>
    <row r="30" spans="1:11" s="67" customFormat="1" x14ac:dyDescent="0.2">
      <c r="A30" s="214">
        <v>1991</v>
      </c>
      <c r="B30" s="51"/>
      <c r="C30" s="52"/>
      <c r="D30" s="51"/>
      <c r="E30" s="53"/>
      <c r="F30" s="51"/>
      <c r="G30" s="53"/>
      <c r="H30" s="51"/>
      <c r="I30" s="53"/>
      <c r="J30" s="51"/>
      <c r="K30" s="54"/>
    </row>
    <row r="31" spans="1:11" s="67" customFormat="1" x14ac:dyDescent="0.2">
      <c r="A31" s="214">
        <v>1992</v>
      </c>
      <c r="B31" s="51"/>
      <c r="C31" s="52"/>
      <c r="D31" s="51"/>
      <c r="E31" s="53"/>
      <c r="F31" s="51"/>
      <c r="G31" s="53"/>
      <c r="H31" s="51"/>
      <c r="I31" s="53"/>
      <c r="J31" s="51"/>
      <c r="K31" s="54"/>
    </row>
    <row r="32" spans="1:11" s="67" customFormat="1" x14ac:dyDescent="0.2">
      <c r="A32" s="214">
        <v>1993</v>
      </c>
      <c r="B32" s="51"/>
      <c r="C32" s="52"/>
      <c r="D32" s="51"/>
      <c r="E32" s="53"/>
      <c r="F32" s="51"/>
      <c r="G32" s="53"/>
      <c r="H32" s="51"/>
      <c r="I32" s="53"/>
      <c r="J32" s="51"/>
      <c r="K32" s="54"/>
    </row>
    <row r="33" spans="1:11" s="67" customFormat="1" x14ac:dyDescent="0.2">
      <c r="A33" s="214">
        <v>1994</v>
      </c>
      <c r="B33" s="51"/>
      <c r="C33" s="52"/>
      <c r="D33" s="51"/>
      <c r="E33" s="53"/>
      <c r="F33" s="51"/>
      <c r="G33" s="53"/>
      <c r="H33" s="51"/>
      <c r="I33" s="53"/>
      <c r="J33" s="51"/>
      <c r="K33" s="54"/>
    </row>
    <row r="34" spans="1:11" s="67" customFormat="1" x14ac:dyDescent="0.2">
      <c r="A34" s="214">
        <v>1995</v>
      </c>
      <c r="B34" s="51"/>
      <c r="C34" s="52"/>
      <c r="D34" s="51"/>
      <c r="E34" s="53"/>
      <c r="F34" s="51"/>
      <c r="G34" s="53"/>
      <c r="H34" s="51"/>
      <c r="I34" s="53"/>
      <c r="J34" s="51"/>
      <c r="K34" s="54"/>
    </row>
    <row r="35" spans="1:11" s="67" customFormat="1" x14ac:dyDescent="0.2">
      <c r="A35" s="214">
        <v>1996</v>
      </c>
      <c r="B35" s="51">
        <v>2</v>
      </c>
      <c r="C35" s="52">
        <f>C34+B35</f>
        <v>2</v>
      </c>
      <c r="D35" s="51"/>
      <c r="E35" s="53"/>
      <c r="F35" s="51"/>
      <c r="G35" s="53"/>
      <c r="H35" s="51">
        <v>1</v>
      </c>
      <c r="I35" s="53">
        <f>I34+H35</f>
        <v>1</v>
      </c>
      <c r="J35" s="51">
        <f>B35+D35+F35+H35</f>
        <v>3</v>
      </c>
      <c r="K35" s="54">
        <f>C35+E35+G35+I35</f>
        <v>3</v>
      </c>
    </row>
    <row r="36" spans="1:11" s="67" customFormat="1" x14ac:dyDescent="0.2">
      <c r="A36" s="214">
        <v>1997</v>
      </c>
      <c r="B36" s="51">
        <v>1</v>
      </c>
      <c r="C36" s="52">
        <f t="shared" ref="C36:C44" si="0">C35+B36</f>
        <v>3</v>
      </c>
      <c r="D36" s="51"/>
      <c r="E36" s="53"/>
      <c r="F36" s="51"/>
      <c r="G36" s="53"/>
      <c r="H36" s="51"/>
      <c r="I36" s="53">
        <f t="shared" ref="I36:I43" si="1">I35+H36</f>
        <v>1</v>
      </c>
      <c r="J36" s="51">
        <f t="shared" ref="J36:J43" si="2">B36+D36+F36+H36</f>
        <v>1</v>
      </c>
      <c r="K36" s="54">
        <f>K35+J36</f>
        <v>4</v>
      </c>
    </row>
    <row r="37" spans="1:11" s="67" customFormat="1" x14ac:dyDescent="0.2">
      <c r="A37" s="214">
        <v>1998</v>
      </c>
      <c r="B37" s="51">
        <v>1</v>
      </c>
      <c r="C37" s="52">
        <f t="shared" si="0"/>
        <v>4</v>
      </c>
      <c r="D37" s="51"/>
      <c r="E37" s="53"/>
      <c r="F37" s="51"/>
      <c r="G37" s="53"/>
      <c r="H37" s="51"/>
      <c r="I37" s="53">
        <f t="shared" si="1"/>
        <v>1</v>
      </c>
      <c r="J37" s="51">
        <f t="shared" si="2"/>
        <v>1</v>
      </c>
      <c r="K37" s="54">
        <f t="shared" ref="K37:K43" si="3">K36+J37</f>
        <v>5</v>
      </c>
    </row>
    <row r="38" spans="1:11" s="67" customFormat="1" x14ac:dyDescent="0.2">
      <c r="A38" s="218">
        <v>1999</v>
      </c>
      <c r="B38" s="55">
        <v>2</v>
      </c>
      <c r="C38" s="56">
        <f t="shared" si="0"/>
        <v>6</v>
      </c>
      <c r="D38" s="55"/>
      <c r="E38" s="57"/>
      <c r="F38" s="55"/>
      <c r="G38" s="57"/>
      <c r="H38" s="55"/>
      <c r="I38" s="57">
        <f t="shared" si="1"/>
        <v>1</v>
      </c>
      <c r="J38" s="55">
        <f t="shared" si="2"/>
        <v>2</v>
      </c>
      <c r="K38" s="58">
        <f t="shared" si="3"/>
        <v>7</v>
      </c>
    </row>
    <row r="39" spans="1:11" s="70" customFormat="1" ht="22.5" customHeight="1" x14ac:dyDescent="0.2">
      <c r="A39" s="214">
        <v>2000</v>
      </c>
      <c r="B39" s="51"/>
      <c r="C39" s="52">
        <f t="shared" si="0"/>
        <v>6</v>
      </c>
      <c r="D39" s="51"/>
      <c r="E39" s="53"/>
      <c r="F39" s="51"/>
      <c r="G39" s="53"/>
      <c r="H39" s="51"/>
      <c r="I39" s="53">
        <f t="shared" si="1"/>
        <v>1</v>
      </c>
      <c r="J39" s="51"/>
      <c r="K39" s="54">
        <f t="shared" si="3"/>
        <v>7</v>
      </c>
    </row>
    <row r="40" spans="1:11" s="67" customFormat="1" x14ac:dyDescent="0.2">
      <c r="A40" s="214">
        <v>2001</v>
      </c>
      <c r="B40" s="51">
        <v>1</v>
      </c>
      <c r="C40" s="52">
        <f t="shared" si="0"/>
        <v>7</v>
      </c>
      <c r="D40" s="51">
        <v>1</v>
      </c>
      <c r="E40" s="53">
        <f t="shared" ref="E40:E45" si="4">E39+D40</f>
        <v>1</v>
      </c>
      <c r="F40" s="51"/>
      <c r="G40" s="53"/>
      <c r="H40" s="51"/>
      <c r="I40" s="53">
        <f t="shared" si="1"/>
        <v>1</v>
      </c>
      <c r="J40" s="51">
        <f t="shared" si="2"/>
        <v>2</v>
      </c>
      <c r="K40" s="54">
        <f t="shared" si="3"/>
        <v>9</v>
      </c>
    </row>
    <row r="41" spans="1:11" s="67" customFormat="1" x14ac:dyDescent="0.2">
      <c r="A41" s="214">
        <v>2002</v>
      </c>
      <c r="B41" s="51">
        <v>2</v>
      </c>
      <c r="C41" s="52">
        <f t="shared" si="0"/>
        <v>9</v>
      </c>
      <c r="D41" s="51">
        <v>3</v>
      </c>
      <c r="E41" s="53">
        <f t="shared" si="4"/>
        <v>4</v>
      </c>
      <c r="F41" s="51"/>
      <c r="G41" s="53"/>
      <c r="H41" s="51"/>
      <c r="I41" s="53">
        <f t="shared" si="1"/>
        <v>1</v>
      </c>
      <c r="J41" s="51">
        <f t="shared" si="2"/>
        <v>5</v>
      </c>
      <c r="K41" s="54">
        <f t="shared" si="3"/>
        <v>14</v>
      </c>
    </row>
    <row r="42" spans="1:11" s="67" customFormat="1" x14ac:dyDescent="0.2">
      <c r="A42" s="214">
        <v>2003</v>
      </c>
      <c r="B42" s="51">
        <v>3</v>
      </c>
      <c r="C42" s="52">
        <f t="shared" si="0"/>
        <v>12</v>
      </c>
      <c r="D42" s="51">
        <v>3</v>
      </c>
      <c r="E42" s="53">
        <f t="shared" si="4"/>
        <v>7</v>
      </c>
      <c r="F42" s="51">
        <v>1</v>
      </c>
      <c r="G42" s="53">
        <f t="shared" ref="G42:G47" si="5">G41+F42</f>
        <v>1</v>
      </c>
      <c r="H42" s="51"/>
      <c r="I42" s="53">
        <f t="shared" si="1"/>
        <v>1</v>
      </c>
      <c r="J42" s="51">
        <f t="shared" si="2"/>
        <v>7</v>
      </c>
      <c r="K42" s="54">
        <f t="shared" si="3"/>
        <v>21</v>
      </c>
    </row>
    <row r="43" spans="1:11" s="67" customFormat="1" x14ac:dyDescent="0.2">
      <c r="A43" s="214">
        <v>2004</v>
      </c>
      <c r="B43" s="51">
        <v>3</v>
      </c>
      <c r="C43" s="52">
        <f t="shared" si="0"/>
        <v>15</v>
      </c>
      <c r="D43" s="51">
        <v>4</v>
      </c>
      <c r="E43" s="53">
        <f t="shared" si="4"/>
        <v>11</v>
      </c>
      <c r="F43" s="51">
        <v>0</v>
      </c>
      <c r="G43" s="53">
        <f t="shared" si="5"/>
        <v>1</v>
      </c>
      <c r="H43" s="51">
        <f>2+0</f>
        <v>2</v>
      </c>
      <c r="I43" s="53">
        <f t="shared" si="1"/>
        <v>3</v>
      </c>
      <c r="J43" s="51">
        <f t="shared" si="2"/>
        <v>9</v>
      </c>
      <c r="K43" s="54">
        <f t="shared" si="3"/>
        <v>30</v>
      </c>
    </row>
    <row r="44" spans="1:11" s="67" customFormat="1" x14ac:dyDescent="0.2">
      <c r="A44" s="214">
        <v>2005</v>
      </c>
      <c r="B44" s="51"/>
      <c r="C44" s="52">
        <f t="shared" si="0"/>
        <v>15</v>
      </c>
      <c r="D44" s="51">
        <f>1+0+0+1</f>
        <v>2</v>
      </c>
      <c r="E44" s="53">
        <f t="shared" si="4"/>
        <v>13</v>
      </c>
      <c r="F44" s="63">
        <f>0+0+0+0</f>
        <v>0</v>
      </c>
      <c r="G44" s="53">
        <f t="shared" si="5"/>
        <v>1</v>
      </c>
      <c r="H44" s="140">
        <f>0+0+0+0</f>
        <v>0</v>
      </c>
      <c r="I44" s="131">
        <f t="shared" ref="I44:I49" si="6">I43+H44</f>
        <v>3</v>
      </c>
      <c r="J44" s="51">
        <f t="shared" ref="J44:J49" si="7">B44+D44+F44+H44</f>
        <v>2</v>
      </c>
      <c r="K44" s="54">
        <f t="shared" ref="K44:K49" si="8">K43+J44</f>
        <v>32</v>
      </c>
    </row>
    <row r="45" spans="1:11" s="67" customFormat="1" x14ac:dyDescent="0.2">
      <c r="A45" s="214">
        <v>2006</v>
      </c>
      <c r="B45" s="137">
        <f>0+0+0</f>
        <v>0</v>
      </c>
      <c r="C45" s="130">
        <f t="shared" ref="C45:C51" si="9">C44+B45</f>
        <v>15</v>
      </c>
      <c r="D45" s="137">
        <f>0+2+0</f>
        <v>2</v>
      </c>
      <c r="E45" s="131">
        <f t="shared" si="4"/>
        <v>15</v>
      </c>
      <c r="F45" s="139">
        <f>0+0+0+1</f>
        <v>1</v>
      </c>
      <c r="G45" s="131">
        <f t="shared" si="5"/>
        <v>2</v>
      </c>
      <c r="H45" s="140">
        <f>1+2+0+0</f>
        <v>3</v>
      </c>
      <c r="I45" s="131">
        <f t="shared" si="6"/>
        <v>6</v>
      </c>
      <c r="J45" s="137">
        <f t="shared" si="7"/>
        <v>6</v>
      </c>
      <c r="K45" s="54">
        <f t="shared" si="8"/>
        <v>38</v>
      </c>
    </row>
    <row r="46" spans="1:11" s="67" customFormat="1" x14ac:dyDescent="0.2">
      <c r="A46" s="214">
        <v>2007</v>
      </c>
      <c r="B46" s="137">
        <f>1+0+0+1</f>
        <v>2</v>
      </c>
      <c r="C46" s="130">
        <f t="shared" si="9"/>
        <v>17</v>
      </c>
      <c r="D46" s="137">
        <f>0+0+0+1</f>
        <v>1</v>
      </c>
      <c r="E46" s="131">
        <f t="shared" ref="E46:E51" si="10">E45+D46</f>
        <v>16</v>
      </c>
      <c r="F46" s="139">
        <f>0+0+0</f>
        <v>0</v>
      </c>
      <c r="G46" s="131">
        <f t="shared" si="5"/>
        <v>2</v>
      </c>
      <c r="H46" s="140">
        <f>0+0+1+0</f>
        <v>1</v>
      </c>
      <c r="I46" s="131">
        <f t="shared" si="6"/>
        <v>7</v>
      </c>
      <c r="J46" s="137">
        <f t="shared" si="7"/>
        <v>4</v>
      </c>
      <c r="K46" s="54">
        <f t="shared" si="8"/>
        <v>42</v>
      </c>
    </row>
    <row r="47" spans="1:11" s="67" customFormat="1" x14ac:dyDescent="0.2">
      <c r="A47" s="214">
        <v>2008</v>
      </c>
      <c r="B47" s="137">
        <f>0+0+0+0</f>
        <v>0</v>
      </c>
      <c r="C47" s="130">
        <f t="shared" si="9"/>
        <v>17</v>
      </c>
      <c r="D47" s="137">
        <f>1+2+0+0</f>
        <v>3</v>
      </c>
      <c r="E47" s="131">
        <f t="shared" si="10"/>
        <v>19</v>
      </c>
      <c r="F47" s="139">
        <f>0+0+0+0</f>
        <v>0</v>
      </c>
      <c r="G47" s="131">
        <f t="shared" si="5"/>
        <v>2</v>
      </c>
      <c r="H47" s="140">
        <f>1+0+0+0</f>
        <v>1</v>
      </c>
      <c r="I47" s="131">
        <f t="shared" si="6"/>
        <v>8</v>
      </c>
      <c r="J47" s="137">
        <f t="shared" si="7"/>
        <v>4</v>
      </c>
      <c r="K47" s="54">
        <f t="shared" si="8"/>
        <v>46</v>
      </c>
    </row>
    <row r="48" spans="1:11" s="67" customFormat="1" x14ac:dyDescent="0.2">
      <c r="A48" s="214">
        <v>2009</v>
      </c>
      <c r="B48" s="137">
        <f>1+0+0+1</f>
        <v>2</v>
      </c>
      <c r="C48" s="130">
        <f t="shared" si="9"/>
        <v>19</v>
      </c>
      <c r="D48" s="137">
        <f>0+0+0+2</f>
        <v>2</v>
      </c>
      <c r="E48" s="131">
        <f t="shared" si="10"/>
        <v>21</v>
      </c>
      <c r="F48" s="139">
        <f>1+0+0+0</f>
        <v>1</v>
      </c>
      <c r="G48" s="131">
        <f t="shared" ref="G48:G53" si="11">G47+F48</f>
        <v>3</v>
      </c>
      <c r="H48" s="140">
        <f>0+0+0+0</f>
        <v>0</v>
      </c>
      <c r="I48" s="131">
        <f t="shared" si="6"/>
        <v>8</v>
      </c>
      <c r="J48" s="137">
        <f t="shared" si="7"/>
        <v>5</v>
      </c>
      <c r="K48" s="54">
        <f t="shared" si="8"/>
        <v>51</v>
      </c>
    </row>
    <row r="49" spans="1:11" s="67" customFormat="1" x14ac:dyDescent="0.2">
      <c r="A49" s="214">
        <v>2010</v>
      </c>
      <c r="B49" s="137">
        <f>2+1+0+0</f>
        <v>3</v>
      </c>
      <c r="C49" s="130">
        <f t="shared" si="9"/>
        <v>22</v>
      </c>
      <c r="D49" s="137">
        <f>1+3+2+1</f>
        <v>7</v>
      </c>
      <c r="E49" s="131">
        <f t="shared" si="10"/>
        <v>28</v>
      </c>
      <c r="F49" s="139">
        <f>0+0+0+0</f>
        <v>0</v>
      </c>
      <c r="G49" s="131">
        <f t="shared" si="11"/>
        <v>3</v>
      </c>
      <c r="H49" s="140">
        <f>0+0+0+0</f>
        <v>0</v>
      </c>
      <c r="I49" s="131">
        <f t="shared" si="6"/>
        <v>8</v>
      </c>
      <c r="J49" s="137">
        <f t="shared" si="7"/>
        <v>10</v>
      </c>
      <c r="K49" s="54">
        <f t="shared" si="8"/>
        <v>61</v>
      </c>
    </row>
    <row r="50" spans="1:11" s="165" customFormat="1" x14ac:dyDescent="0.2">
      <c r="A50" s="215">
        <v>2011</v>
      </c>
      <c r="B50" s="163">
        <f>1+0+1+0</f>
        <v>2</v>
      </c>
      <c r="C50" s="166">
        <f t="shared" si="9"/>
        <v>24</v>
      </c>
      <c r="D50" s="163">
        <f>2+0+0+1</f>
        <v>3</v>
      </c>
      <c r="E50" s="155">
        <f t="shared" si="10"/>
        <v>31</v>
      </c>
      <c r="F50" s="160">
        <f>0+0+0+0</f>
        <v>0</v>
      </c>
      <c r="G50" s="155">
        <f t="shared" si="11"/>
        <v>3</v>
      </c>
      <c r="H50" s="167">
        <f>0</f>
        <v>0</v>
      </c>
      <c r="I50" s="155">
        <f t="shared" ref="I50:I55" si="12">I49+H50</f>
        <v>8</v>
      </c>
      <c r="J50" s="163">
        <f t="shared" ref="J50:J55" si="13">B50+D50+F50+H50</f>
        <v>5</v>
      </c>
      <c r="K50" s="133">
        <f t="shared" ref="K50:K55" si="14">K49+J50</f>
        <v>66</v>
      </c>
    </row>
    <row r="51" spans="1:11" s="187" customFormat="1" x14ac:dyDescent="0.2">
      <c r="A51" s="216">
        <v>2012</v>
      </c>
      <c r="B51" s="163">
        <f>0+0+1+1</f>
        <v>2</v>
      </c>
      <c r="C51" s="166">
        <f t="shared" si="9"/>
        <v>26</v>
      </c>
      <c r="D51" s="163">
        <f>0+0+0+3</f>
        <v>3</v>
      </c>
      <c r="E51" s="155">
        <f t="shared" si="10"/>
        <v>34</v>
      </c>
      <c r="F51" s="184">
        <f>0+0+0+0</f>
        <v>0</v>
      </c>
      <c r="G51" s="155">
        <f t="shared" si="11"/>
        <v>3</v>
      </c>
      <c r="H51" s="185">
        <f>0+0+0+0</f>
        <v>0</v>
      </c>
      <c r="I51" s="155">
        <f t="shared" si="12"/>
        <v>8</v>
      </c>
      <c r="J51" s="163">
        <f t="shared" si="13"/>
        <v>5</v>
      </c>
      <c r="K51" s="141">
        <f t="shared" si="14"/>
        <v>71</v>
      </c>
    </row>
    <row r="52" spans="1:11" s="187" customFormat="1" x14ac:dyDescent="0.2">
      <c r="A52" s="216">
        <v>2013</v>
      </c>
      <c r="B52" s="163">
        <f>2+1+2+0</f>
        <v>5</v>
      </c>
      <c r="C52" s="166">
        <f t="shared" ref="C52:C57" si="15">C51+B52</f>
        <v>31</v>
      </c>
      <c r="D52" s="163">
        <f>3+3+2+2</f>
        <v>10</v>
      </c>
      <c r="E52" s="155">
        <f t="shared" ref="E52:E57" si="16">E51+D52</f>
        <v>44</v>
      </c>
      <c r="F52" s="160">
        <f>0+0+0+0</f>
        <v>0</v>
      </c>
      <c r="G52" s="155">
        <f t="shared" si="11"/>
        <v>3</v>
      </c>
      <c r="H52" s="167">
        <f>0+0+0+1</f>
        <v>1</v>
      </c>
      <c r="I52" s="155">
        <f t="shared" si="12"/>
        <v>9</v>
      </c>
      <c r="J52" s="163">
        <f t="shared" si="13"/>
        <v>16</v>
      </c>
      <c r="K52" s="141">
        <f t="shared" si="14"/>
        <v>87</v>
      </c>
    </row>
    <row r="53" spans="1:11" s="187" customFormat="1" x14ac:dyDescent="0.2">
      <c r="A53" s="217" t="s">
        <v>39</v>
      </c>
      <c r="B53" s="163">
        <f>1+1+0+2</f>
        <v>4</v>
      </c>
      <c r="C53" s="166">
        <f t="shared" si="15"/>
        <v>35</v>
      </c>
      <c r="D53" s="163">
        <f>2+2+1+5</f>
        <v>10</v>
      </c>
      <c r="E53" s="155">
        <f t="shared" si="16"/>
        <v>54</v>
      </c>
      <c r="F53" s="160">
        <f>0+1+0+1</f>
        <v>2</v>
      </c>
      <c r="G53" s="155">
        <f t="shared" si="11"/>
        <v>5</v>
      </c>
      <c r="H53" s="160">
        <f>1+2+1+0</f>
        <v>4</v>
      </c>
      <c r="I53" s="155">
        <f t="shared" si="12"/>
        <v>13</v>
      </c>
      <c r="J53" s="163">
        <f t="shared" si="13"/>
        <v>20</v>
      </c>
      <c r="K53" s="141">
        <f t="shared" si="14"/>
        <v>107</v>
      </c>
    </row>
    <row r="54" spans="1:11" s="187" customFormat="1" x14ac:dyDescent="0.2">
      <c r="A54" s="217">
        <v>2015</v>
      </c>
      <c r="B54" s="163">
        <f>0+0+0+0</f>
        <v>0</v>
      </c>
      <c r="C54" s="166">
        <f t="shared" si="15"/>
        <v>35</v>
      </c>
      <c r="D54" s="163">
        <f>7+2+3+2</f>
        <v>14</v>
      </c>
      <c r="E54" s="155">
        <f t="shared" si="16"/>
        <v>68</v>
      </c>
      <c r="F54" s="160">
        <f>0+0+0+0</f>
        <v>0</v>
      </c>
      <c r="G54" s="155">
        <f t="shared" ref="G54:G59" si="17">G53+F54</f>
        <v>5</v>
      </c>
      <c r="H54" s="160">
        <f>1+0+1+0</f>
        <v>2</v>
      </c>
      <c r="I54" s="155">
        <f t="shared" si="12"/>
        <v>15</v>
      </c>
      <c r="J54" s="163">
        <f t="shared" si="13"/>
        <v>16</v>
      </c>
      <c r="K54" s="141">
        <f t="shared" si="14"/>
        <v>123</v>
      </c>
    </row>
    <row r="55" spans="1:11" s="187" customFormat="1" x14ac:dyDescent="0.2">
      <c r="A55" s="228">
        <v>2016</v>
      </c>
      <c r="B55" s="163">
        <f>1+0+0+0</f>
        <v>1</v>
      </c>
      <c r="C55" s="166">
        <f t="shared" si="15"/>
        <v>36</v>
      </c>
      <c r="D55" s="163">
        <f>2+2+1+2</f>
        <v>7</v>
      </c>
      <c r="E55" s="155">
        <f t="shared" si="16"/>
        <v>75</v>
      </c>
      <c r="F55" s="160">
        <f>0+0+0+0</f>
        <v>0</v>
      </c>
      <c r="G55" s="155">
        <f t="shared" si="17"/>
        <v>5</v>
      </c>
      <c r="H55" s="160">
        <f>1+0+0+1</f>
        <v>2</v>
      </c>
      <c r="I55" s="155">
        <f t="shared" si="12"/>
        <v>17</v>
      </c>
      <c r="J55" s="163">
        <f t="shared" si="13"/>
        <v>10</v>
      </c>
      <c r="K55" s="141">
        <f t="shared" si="14"/>
        <v>133</v>
      </c>
    </row>
    <row r="56" spans="1:11" s="187" customFormat="1" x14ac:dyDescent="0.2">
      <c r="A56" s="228">
        <v>2017</v>
      </c>
      <c r="B56" s="163">
        <f>0+0+0+1</f>
        <v>1</v>
      </c>
      <c r="C56" s="166">
        <f t="shared" si="15"/>
        <v>37</v>
      </c>
      <c r="D56" s="163">
        <f>0+3+2+2</f>
        <v>7</v>
      </c>
      <c r="E56" s="155">
        <f t="shared" si="16"/>
        <v>82</v>
      </c>
      <c r="F56" s="160">
        <f>0</f>
        <v>0</v>
      </c>
      <c r="G56" s="155">
        <f t="shared" si="17"/>
        <v>5</v>
      </c>
      <c r="H56" s="160">
        <f>0+2+0</f>
        <v>2</v>
      </c>
      <c r="I56" s="155">
        <f t="shared" ref="I56:I61" si="18">I55+H56</f>
        <v>19</v>
      </c>
      <c r="J56" s="163">
        <f t="shared" ref="J56:J61" si="19">B56+D56+F56+H56</f>
        <v>10</v>
      </c>
      <c r="K56" s="141">
        <f t="shared" ref="K56:K61" si="20">K55+J56</f>
        <v>143</v>
      </c>
    </row>
    <row r="57" spans="1:11" s="187" customFormat="1" x14ac:dyDescent="0.2">
      <c r="A57" s="228">
        <v>2018</v>
      </c>
      <c r="B57" s="163">
        <f>1+0+1+0</f>
        <v>2</v>
      </c>
      <c r="C57" s="166">
        <f t="shared" si="15"/>
        <v>39</v>
      </c>
      <c r="D57" s="163">
        <f>3+3+3+3</f>
        <v>12</v>
      </c>
      <c r="E57" s="155">
        <f t="shared" si="16"/>
        <v>94</v>
      </c>
      <c r="F57" s="184">
        <f>0+0+0+0</f>
        <v>0</v>
      </c>
      <c r="G57" s="155">
        <f t="shared" si="17"/>
        <v>5</v>
      </c>
      <c r="H57" s="184">
        <f>0+0+0+0</f>
        <v>0</v>
      </c>
      <c r="I57" s="155">
        <f t="shared" si="18"/>
        <v>19</v>
      </c>
      <c r="J57" s="163">
        <f t="shared" si="19"/>
        <v>14</v>
      </c>
      <c r="K57" s="141">
        <f t="shared" si="20"/>
        <v>157</v>
      </c>
    </row>
    <row r="58" spans="1:11" s="187" customFormat="1" x14ac:dyDescent="0.2">
      <c r="A58" s="228">
        <v>2019</v>
      </c>
      <c r="B58" s="163">
        <f>1+2+0+0</f>
        <v>3</v>
      </c>
      <c r="C58" s="166">
        <f t="shared" ref="C58:C63" si="21">C57+B58</f>
        <v>42</v>
      </c>
      <c r="D58" s="163">
        <f>2+2+2+3</f>
        <v>9</v>
      </c>
      <c r="E58" s="155">
        <f t="shared" ref="E58:E63" si="22">E57+D58</f>
        <v>103</v>
      </c>
      <c r="F58" s="160">
        <f>0+0+0+0</f>
        <v>0</v>
      </c>
      <c r="G58" s="155">
        <f t="shared" si="17"/>
        <v>5</v>
      </c>
      <c r="H58" s="160">
        <f>0+1+0+0</f>
        <v>1</v>
      </c>
      <c r="I58" s="155">
        <f t="shared" si="18"/>
        <v>20</v>
      </c>
      <c r="J58" s="163">
        <f t="shared" si="19"/>
        <v>13</v>
      </c>
      <c r="K58" s="141">
        <f t="shared" si="20"/>
        <v>170</v>
      </c>
    </row>
    <row r="59" spans="1:11" s="187" customFormat="1" x14ac:dyDescent="0.2">
      <c r="A59" s="217">
        <v>2020</v>
      </c>
      <c r="B59" s="163">
        <f>0+0+0+1</f>
        <v>1</v>
      </c>
      <c r="C59" s="166">
        <f t="shared" si="21"/>
        <v>43</v>
      </c>
      <c r="D59" s="397">
        <f>3+0+0+1</f>
        <v>4</v>
      </c>
      <c r="E59" s="155">
        <f t="shared" si="22"/>
        <v>107</v>
      </c>
      <c r="F59" s="160">
        <f>0+0+0+0</f>
        <v>0</v>
      </c>
      <c r="G59" s="155">
        <f t="shared" si="17"/>
        <v>5</v>
      </c>
      <c r="H59" s="160">
        <f>0+0+0+0</f>
        <v>0</v>
      </c>
      <c r="I59" s="155">
        <f t="shared" si="18"/>
        <v>20</v>
      </c>
      <c r="J59" s="163">
        <f t="shared" si="19"/>
        <v>5</v>
      </c>
      <c r="K59" s="141">
        <f t="shared" si="20"/>
        <v>175</v>
      </c>
    </row>
    <row r="60" spans="1:11" s="187" customFormat="1" x14ac:dyDescent="0.2">
      <c r="A60" s="228">
        <v>2021</v>
      </c>
      <c r="B60" s="163">
        <f>1+0+0+0</f>
        <v>1</v>
      </c>
      <c r="C60" s="166">
        <f t="shared" si="21"/>
        <v>44</v>
      </c>
      <c r="D60" s="397">
        <f>0+1+0+1</f>
        <v>2</v>
      </c>
      <c r="E60" s="155">
        <f t="shared" si="22"/>
        <v>109</v>
      </c>
      <c r="F60" s="160">
        <f>0+0+0+0</f>
        <v>0</v>
      </c>
      <c r="G60" s="155">
        <f>G59+F60</f>
        <v>5</v>
      </c>
      <c r="H60" s="160">
        <f>0+0+0+0</f>
        <v>0</v>
      </c>
      <c r="I60" s="155">
        <f t="shared" si="18"/>
        <v>20</v>
      </c>
      <c r="J60" s="163">
        <f t="shared" si="19"/>
        <v>3</v>
      </c>
      <c r="K60" s="141">
        <f t="shared" si="20"/>
        <v>178</v>
      </c>
    </row>
    <row r="61" spans="1:11" s="187" customFormat="1" x14ac:dyDescent="0.2">
      <c r="A61" s="228">
        <v>2022</v>
      </c>
      <c r="B61" s="182">
        <f>0+1+0+0</f>
        <v>1</v>
      </c>
      <c r="C61" s="183">
        <f t="shared" si="21"/>
        <v>45</v>
      </c>
      <c r="D61" s="342">
        <f>0+0+0+0</f>
        <v>0</v>
      </c>
      <c r="E61" s="179">
        <f t="shared" si="22"/>
        <v>109</v>
      </c>
      <c r="F61" s="184">
        <f>0+0+0+0</f>
        <v>0</v>
      </c>
      <c r="G61" s="179">
        <f>G60+F61</f>
        <v>5</v>
      </c>
      <c r="H61" s="184">
        <f>0+0+0+0</f>
        <v>0</v>
      </c>
      <c r="I61" s="179">
        <f t="shared" si="18"/>
        <v>20</v>
      </c>
      <c r="J61" s="182">
        <f t="shared" si="19"/>
        <v>1</v>
      </c>
      <c r="K61" s="181">
        <f t="shared" si="20"/>
        <v>179</v>
      </c>
    </row>
    <row r="62" spans="1:11" s="187" customFormat="1" x14ac:dyDescent="0.2">
      <c r="A62" s="228">
        <v>2023</v>
      </c>
      <c r="B62" s="182">
        <f>1+1+0+0</f>
        <v>2</v>
      </c>
      <c r="C62" s="183">
        <f t="shared" si="21"/>
        <v>47</v>
      </c>
      <c r="D62" s="342">
        <f>1+0+0+2</f>
        <v>3</v>
      </c>
      <c r="E62" s="179">
        <f t="shared" si="22"/>
        <v>112</v>
      </c>
      <c r="F62" s="184">
        <f>0+0+0+1</f>
        <v>1</v>
      </c>
      <c r="G62" s="179">
        <f>G61+F62</f>
        <v>6</v>
      </c>
      <c r="H62" s="184">
        <f>0+0+0+0</f>
        <v>0</v>
      </c>
      <c r="I62" s="179">
        <f>I61+H62</f>
        <v>20</v>
      </c>
      <c r="J62" s="182">
        <f>B62+D62+F62+H62</f>
        <v>6</v>
      </c>
      <c r="K62" s="181">
        <f>K61+J62</f>
        <v>185</v>
      </c>
    </row>
    <row r="63" spans="1:11" s="67" customFormat="1" x14ac:dyDescent="0.2">
      <c r="A63" s="403">
        <v>2024</v>
      </c>
      <c r="B63" s="51">
        <f>0+0+0+0</f>
        <v>0</v>
      </c>
      <c r="C63" s="183">
        <f t="shared" si="21"/>
        <v>47</v>
      </c>
      <c r="D63" s="51">
        <f>1+0+0+1</f>
        <v>2</v>
      </c>
      <c r="E63" s="179">
        <f t="shared" si="22"/>
        <v>114</v>
      </c>
      <c r="F63" s="63">
        <f>0+0+0+0</f>
        <v>0</v>
      </c>
      <c r="G63" s="179">
        <f>G62+F63</f>
        <v>6</v>
      </c>
      <c r="H63" s="64"/>
      <c r="I63" s="179">
        <f>I62+H63</f>
        <v>20</v>
      </c>
      <c r="J63" s="182">
        <f>B63+D63+F63+H63</f>
        <v>2</v>
      </c>
      <c r="K63" s="181">
        <f>K62+J63</f>
        <v>187</v>
      </c>
    </row>
    <row r="64" spans="1:11" s="67" customFormat="1" x14ac:dyDescent="0.2">
      <c r="A64" s="214">
        <v>2025</v>
      </c>
      <c r="B64" s="51"/>
      <c r="C64" s="54"/>
      <c r="D64" s="51"/>
      <c r="E64" s="62"/>
      <c r="F64" s="63"/>
      <c r="G64" s="62"/>
      <c r="H64" s="64"/>
      <c r="I64" s="62"/>
      <c r="J64" s="63"/>
      <c r="K64" s="62"/>
    </row>
    <row r="65" spans="1:11" s="67" customFormat="1" x14ac:dyDescent="0.2">
      <c r="A65" s="214">
        <v>2026</v>
      </c>
      <c r="B65" s="51"/>
      <c r="C65" s="54"/>
      <c r="D65" s="51"/>
      <c r="E65" s="62"/>
      <c r="F65" s="63"/>
      <c r="G65" s="62"/>
      <c r="H65" s="64"/>
      <c r="I65" s="62"/>
      <c r="J65" s="63"/>
      <c r="K65" s="62"/>
    </row>
    <row r="66" spans="1:11" s="67" customFormat="1" x14ac:dyDescent="0.2">
      <c r="A66" s="214">
        <v>2027</v>
      </c>
      <c r="B66" s="51"/>
      <c r="C66" s="54"/>
      <c r="D66" s="51"/>
      <c r="E66" s="62"/>
      <c r="F66" s="63"/>
      <c r="G66" s="62"/>
      <c r="H66" s="64"/>
      <c r="I66" s="62"/>
      <c r="J66" s="63"/>
      <c r="K66" s="62"/>
    </row>
    <row r="67" spans="1:11" s="67" customFormat="1" x14ac:dyDescent="0.2">
      <c r="A67" s="214">
        <v>2028</v>
      </c>
      <c r="B67" s="51"/>
      <c r="C67" s="54"/>
      <c r="D67" s="51"/>
      <c r="E67" s="62"/>
      <c r="F67" s="63"/>
      <c r="G67" s="62"/>
      <c r="H67" s="64"/>
      <c r="I67" s="62"/>
      <c r="J67" s="63"/>
      <c r="K67" s="62"/>
    </row>
    <row r="68" spans="1:11" s="67" customFormat="1" x14ac:dyDescent="0.2">
      <c r="A68" s="214">
        <v>2029</v>
      </c>
      <c r="B68" s="51"/>
      <c r="C68" s="54"/>
      <c r="D68" s="51"/>
      <c r="E68" s="62"/>
      <c r="F68" s="63"/>
      <c r="G68" s="62"/>
      <c r="H68" s="64"/>
      <c r="I68" s="62"/>
      <c r="J68" s="63"/>
      <c r="K68" s="62"/>
    </row>
    <row r="69" spans="1:11" s="67" customFormat="1" x14ac:dyDescent="0.2">
      <c r="A69" s="214">
        <v>2030</v>
      </c>
      <c r="B69" s="51"/>
      <c r="C69" s="54"/>
      <c r="D69" s="51"/>
      <c r="E69" s="62"/>
      <c r="F69" s="63"/>
      <c r="G69" s="62"/>
      <c r="H69" s="64"/>
      <c r="I69" s="62"/>
      <c r="J69" s="63"/>
      <c r="K69" s="62"/>
    </row>
    <row r="70" spans="1:11" s="67" customFormat="1" x14ac:dyDescent="0.2">
      <c r="A70" s="214"/>
      <c r="B70" s="51"/>
      <c r="C70" s="54"/>
      <c r="D70" s="51"/>
      <c r="E70" s="62"/>
      <c r="F70" s="63"/>
      <c r="G70" s="62"/>
      <c r="H70" s="64"/>
      <c r="I70" s="62"/>
      <c r="J70" s="63"/>
      <c r="K70" s="62"/>
    </row>
    <row r="71" spans="1:11" s="67" customFormat="1" x14ac:dyDescent="0.2">
      <c r="A71" s="17"/>
      <c r="B71" s="51"/>
      <c r="C71" s="54"/>
      <c r="D71" s="51"/>
      <c r="E71" s="62"/>
      <c r="F71" s="63"/>
      <c r="G71" s="62"/>
      <c r="H71" s="64"/>
      <c r="I71" s="62"/>
      <c r="J71" s="63"/>
      <c r="K71" s="62"/>
    </row>
    <row r="72" spans="1:11" s="67" customFormat="1" x14ac:dyDescent="0.2">
      <c r="A72" s="18"/>
      <c r="B72" s="55"/>
      <c r="C72" s="58"/>
      <c r="D72" s="81"/>
      <c r="E72" s="75"/>
      <c r="F72" s="74"/>
      <c r="G72" s="75"/>
      <c r="H72" s="79"/>
      <c r="I72" s="75"/>
      <c r="J72" s="74"/>
      <c r="K72" s="75"/>
    </row>
    <row r="73" spans="1:11" s="84" customFormat="1" ht="18.75" customHeight="1" x14ac:dyDescent="0.2">
      <c r="A73" s="441" t="s">
        <v>40</v>
      </c>
      <c r="B73" s="441"/>
      <c r="C73" s="441"/>
      <c r="D73" s="441"/>
      <c r="E73" s="441"/>
      <c r="F73" s="441"/>
      <c r="G73" s="441"/>
      <c r="H73" s="441"/>
      <c r="I73" s="441"/>
      <c r="J73" s="441"/>
      <c r="K73" s="441"/>
    </row>
    <row r="74" spans="1:11" s="67" customFormat="1" x14ac:dyDescent="0.2">
      <c r="A74" s="1"/>
      <c r="B74" s="80"/>
      <c r="C74" s="80"/>
    </row>
    <row r="75" spans="1:11" s="67" customFormat="1" x14ac:dyDescent="0.2">
      <c r="A75" s="1"/>
      <c r="B75" s="80"/>
      <c r="C75" s="80"/>
    </row>
    <row r="76" spans="1:11" s="67" customFormat="1" x14ac:dyDescent="0.2">
      <c r="A76" s="1"/>
      <c r="B76" s="80"/>
      <c r="C76" s="80"/>
    </row>
    <row r="77" spans="1:11" s="67" customFormat="1" x14ac:dyDescent="0.2">
      <c r="A77" s="1"/>
    </row>
    <row r="78" spans="1:11" s="67" customFormat="1" x14ac:dyDescent="0.2">
      <c r="A78" s="1"/>
    </row>
    <row r="79" spans="1:11" s="67" customFormat="1" x14ac:dyDescent="0.2">
      <c r="A79" s="1"/>
    </row>
    <row r="80" spans="1:11" s="67" customFormat="1" x14ac:dyDescent="0.2">
      <c r="A80" s="1"/>
    </row>
    <row r="81" spans="1:1" s="67" customFormat="1" x14ac:dyDescent="0.2">
      <c r="A81" s="1"/>
    </row>
    <row r="82" spans="1:1" s="67" customFormat="1" x14ac:dyDescent="0.2">
      <c r="A82" s="1"/>
    </row>
    <row r="83" spans="1:1" s="67" customFormat="1" x14ac:dyDescent="0.2">
      <c r="A83" s="1"/>
    </row>
    <row r="84" spans="1:1" s="67" customFormat="1" x14ac:dyDescent="0.2">
      <c r="A84" s="1"/>
    </row>
    <row r="85" spans="1:1" s="67" customFormat="1" x14ac:dyDescent="0.2">
      <c r="A85" s="1"/>
    </row>
    <row r="86" spans="1:1" s="67" customFormat="1" x14ac:dyDescent="0.2">
      <c r="A86" s="1"/>
    </row>
    <row r="87" spans="1:1" s="67" customFormat="1" x14ac:dyDescent="0.2">
      <c r="A87" s="1"/>
    </row>
    <row r="88" spans="1:1" s="67" customFormat="1" x14ac:dyDescent="0.2">
      <c r="A88" s="1"/>
    </row>
    <row r="89" spans="1:1" s="67" customFormat="1" x14ac:dyDescent="0.2">
      <c r="A89" s="1"/>
    </row>
    <row r="90" spans="1:1" s="67" customFormat="1" x14ac:dyDescent="0.2">
      <c r="A90" s="1"/>
    </row>
    <row r="91" spans="1:1" s="67" customFormat="1" x14ac:dyDescent="0.2">
      <c r="A91" s="1"/>
    </row>
    <row r="92" spans="1:1" s="67" customFormat="1" x14ac:dyDescent="0.2">
      <c r="A92" s="1"/>
    </row>
    <row r="93" spans="1:1" s="67" customFormat="1" x14ac:dyDescent="0.2">
      <c r="A93" s="1"/>
    </row>
    <row r="94" spans="1:1" s="67" customFormat="1" x14ac:dyDescent="0.2">
      <c r="A94" s="1"/>
    </row>
    <row r="95" spans="1:1" s="67" customFormat="1" x14ac:dyDescent="0.2">
      <c r="A95" s="1"/>
    </row>
    <row r="96" spans="1:1" s="67" customFormat="1" x14ac:dyDescent="0.2">
      <c r="A96" s="1"/>
    </row>
    <row r="97" spans="1:1" s="67" customFormat="1" x14ac:dyDescent="0.2">
      <c r="A97" s="1"/>
    </row>
    <row r="98" spans="1:1" s="67" customFormat="1" x14ac:dyDescent="0.2">
      <c r="A98" s="1"/>
    </row>
    <row r="99" spans="1:1" s="67" customFormat="1" x14ac:dyDescent="0.2">
      <c r="A99" s="1"/>
    </row>
    <row r="100" spans="1:1" s="67" customFormat="1" x14ac:dyDescent="0.2">
      <c r="A100" s="1"/>
    </row>
    <row r="101" spans="1:1" s="67" customFormat="1" x14ac:dyDescent="0.2">
      <c r="A101" s="1"/>
    </row>
    <row r="102" spans="1:1" s="67" customFormat="1" x14ac:dyDescent="0.2">
      <c r="A102" s="1"/>
    </row>
    <row r="103" spans="1:1" s="67" customFormat="1" x14ac:dyDescent="0.2">
      <c r="A103" s="1"/>
    </row>
    <row r="104" spans="1:1" s="67" customFormat="1" x14ac:dyDescent="0.2">
      <c r="A104" s="1"/>
    </row>
    <row r="105" spans="1:1" s="67" customFormat="1" x14ac:dyDescent="0.2">
      <c r="A105" s="1"/>
    </row>
    <row r="106" spans="1:1" s="67" customFormat="1" x14ac:dyDescent="0.2">
      <c r="A106" s="1"/>
    </row>
    <row r="107" spans="1:1" s="67" customFormat="1" x14ac:dyDescent="0.2">
      <c r="A107" s="1"/>
    </row>
    <row r="108" spans="1:1" s="67" customFormat="1" x14ac:dyDescent="0.2">
      <c r="A108" s="1"/>
    </row>
    <row r="109" spans="1:1" s="67" customFormat="1" x14ac:dyDescent="0.2">
      <c r="A109" s="1"/>
    </row>
    <row r="110" spans="1:1" s="67" customFormat="1" x14ac:dyDescent="0.2">
      <c r="A110" s="1"/>
    </row>
    <row r="111" spans="1:1" s="67" customFormat="1" x14ac:dyDescent="0.2">
      <c r="A111" s="1"/>
    </row>
    <row r="112" spans="1:1" s="67" customFormat="1" x14ac:dyDescent="0.2">
      <c r="A112" s="1"/>
    </row>
    <row r="113" spans="1:1" s="67" customFormat="1" x14ac:dyDescent="0.2">
      <c r="A113" s="1"/>
    </row>
    <row r="114" spans="1:1" s="67" customFormat="1" x14ac:dyDescent="0.2">
      <c r="A114" s="1"/>
    </row>
    <row r="115" spans="1:1" s="67" customFormat="1" x14ac:dyDescent="0.2">
      <c r="A115" s="1"/>
    </row>
    <row r="116" spans="1:1" s="67" customFormat="1" x14ac:dyDescent="0.2">
      <c r="A116" s="1"/>
    </row>
    <row r="117" spans="1:1" s="67" customFormat="1" x14ac:dyDescent="0.2">
      <c r="A117" s="1"/>
    </row>
    <row r="118" spans="1:1" s="67" customFormat="1" x14ac:dyDescent="0.2">
      <c r="A118" s="1"/>
    </row>
    <row r="119" spans="1:1" s="67" customFormat="1" x14ac:dyDescent="0.2">
      <c r="A119" s="1"/>
    </row>
    <row r="120" spans="1:1" s="67" customFormat="1" x14ac:dyDescent="0.2">
      <c r="A120" s="1"/>
    </row>
    <row r="121" spans="1:1" s="67" customFormat="1" x14ac:dyDescent="0.2">
      <c r="A121" s="1"/>
    </row>
    <row r="122" spans="1:1" s="67" customFormat="1" x14ac:dyDescent="0.2">
      <c r="A122" s="1"/>
    </row>
    <row r="123" spans="1:1" s="67" customFormat="1" x14ac:dyDescent="0.2">
      <c r="A123" s="1"/>
    </row>
    <row r="124" spans="1:1" s="67" customFormat="1" x14ac:dyDescent="0.2">
      <c r="A124" s="1"/>
    </row>
    <row r="125" spans="1:1" s="67" customFormat="1" x14ac:dyDescent="0.2">
      <c r="A125" s="1"/>
    </row>
    <row r="126" spans="1:1" s="67" customFormat="1" x14ac:dyDescent="0.2">
      <c r="A126" s="1"/>
    </row>
    <row r="127" spans="1:1" s="67" customFormat="1" x14ac:dyDescent="0.2">
      <c r="A127" s="1"/>
    </row>
    <row r="128" spans="1:1" s="67" customFormat="1" x14ac:dyDescent="0.2">
      <c r="A128" s="1"/>
    </row>
    <row r="129" spans="1:1" s="67" customFormat="1" x14ac:dyDescent="0.2">
      <c r="A129" s="1"/>
    </row>
    <row r="130" spans="1:1" s="67" customFormat="1" x14ac:dyDescent="0.2">
      <c r="A130" s="1"/>
    </row>
    <row r="131" spans="1:1" s="67" customFormat="1" x14ac:dyDescent="0.2">
      <c r="A131" s="1"/>
    </row>
    <row r="132" spans="1:1" s="67" customFormat="1" x14ac:dyDescent="0.2">
      <c r="A132" s="1"/>
    </row>
    <row r="133" spans="1:1" s="67" customFormat="1" x14ac:dyDescent="0.2">
      <c r="A133" s="1"/>
    </row>
    <row r="134" spans="1:1" s="67" customFormat="1" x14ac:dyDescent="0.2">
      <c r="A134" s="1"/>
    </row>
    <row r="135" spans="1:1" s="67" customFormat="1" x14ac:dyDescent="0.2">
      <c r="A135" s="1"/>
    </row>
    <row r="136" spans="1:1" s="67" customFormat="1" x14ac:dyDescent="0.2">
      <c r="A136" s="1"/>
    </row>
    <row r="137" spans="1:1" s="67" customFormat="1" x14ac:dyDescent="0.2">
      <c r="A137" s="1"/>
    </row>
    <row r="138" spans="1:1" s="67" customFormat="1" x14ac:dyDescent="0.2">
      <c r="A138" s="1"/>
    </row>
    <row r="139" spans="1:1" s="67" customFormat="1" x14ac:dyDescent="0.2">
      <c r="A139" s="1"/>
    </row>
    <row r="140" spans="1:1" s="67" customFormat="1" x14ac:dyDescent="0.2">
      <c r="A140" s="1"/>
    </row>
    <row r="141" spans="1:1" s="67" customFormat="1" x14ac:dyDescent="0.2">
      <c r="A141" s="1"/>
    </row>
    <row r="142" spans="1:1" s="67" customFormat="1" x14ac:dyDescent="0.2">
      <c r="A142" s="1"/>
    </row>
    <row r="143" spans="1:1" s="67" customFormat="1" x14ac:dyDescent="0.2">
      <c r="A143" s="1"/>
    </row>
    <row r="144" spans="1:1" s="67" customFormat="1" x14ac:dyDescent="0.2">
      <c r="A144" s="1"/>
    </row>
    <row r="145" spans="1:1" s="67" customFormat="1" x14ac:dyDescent="0.2">
      <c r="A145" s="1"/>
    </row>
    <row r="146" spans="1:1" s="67" customFormat="1" x14ac:dyDescent="0.2">
      <c r="A146" s="1"/>
    </row>
    <row r="147" spans="1:1" s="67" customFormat="1" x14ac:dyDescent="0.2">
      <c r="A147" s="1"/>
    </row>
    <row r="148" spans="1:1" s="67" customFormat="1" x14ac:dyDescent="0.2">
      <c r="A148" s="1"/>
    </row>
    <row r="149" spans="1:1" s="67" customFormat="1" x14ac:dyDescent="0.2">
      <c r="A149" s="1"/>
    </row>
    <row r="150" spans="1:1" s="67" customFormat="1" x14ac:dyDescent="0.2">
      <c r="A150" s="1"/>
    </row>
    <row r="151" spans="1:1" s="67" customFormat="1" x14ac:dyDescent="0.2">
      <c r="A151" s="1"/>
    </row>
    <row r="152" spans="1:1" s="67" customFormat="1" x14ac:dyDescent="0.2">
      <c r="A152" s="1"/>
    </row>
    <row r="153" spans="1:1" s="67" customFormat="1" x14ac:dyDescent="0.2">
      <c r="A153" s="1"/>
    </row>
    <row r="154" spans="1:1" s="67" customFormat="1" x14ac:dyDescent="0.2">
      <c r="A154" s="1"/>
    </row>
    <row r="155" spans="1:1" s="67" customFormat="1" x14ac:dyDescent="0.2">
      <c r="A155" s="1"/>
    </row>
    <row r="156" spans="1:1" s="67" customFormat="1" x14ac:dyDescent="0.2">
      <c r="A156" s="1"/>
    </row>
    <row r="157" spans="1:1" s="67" customFormat="1" x14ac:dyDescent="0.2">
      <c r="A157" s="1"/>
    </row>
    <row r="158" spans="1:1" s="67" customFormat="1" x14ac:dyDescent="0.2">
      <c r="A158" s="1"/>
    </row>
    <row r="159" spans="1:1" s="67" customFormat="1" x14ac:dyDescent="0.2">
      <c r="A159" s="1"/>
    </row>
    <row r="160" spans="1:1" s="67" customFormat="1" x14ac:dyDescent="0.2">
      <c r="A160" s="1"/>
    </row>
    <row r="161" spans="1:1" s="67" customFormat="1" x14ac:dyDescent="0.2">
      <c r="A161" s="1"/>
    </row>
    <row r="162" spans="1:1" s="67" customFormat="1" x14ac:dyDescent="0.2">
      <c r="A162" s="1"/>
    </row>
    <row r="163" spans="1:1" s="67" customFormat="1" x14ac:dyDescent="0.2">
      <c r="A163" s="1"/>
    </row>
    <row r="164" spans="1:1" s="67" customFormat="1" x14ac:dyDescent="0.2">
      <c r="A164" s="1"/>
    </row>
    <row r="165" spans="1:1" s="67" customFormat="1" x14ac:dyDescent="0.2">
      <c r="A165" s="1"/>
    </row>
    <row r="166" spans="1:1" s="67" customFormat="1" x14ac:dyDescent="0.2">
      <c r="A166" s="1"/>
    </row>
    <row r="167" spans="1:1" s="67" customFormat="1" x14ac:dyDescent="0.2">
      <c r="A167" s="1"/>
    </row>
    <row r="168" spans="1:1" s="67" customFormat="1" x14ac:dyDescent="0.2">
      <c r="A168" s="1"/>
    </row>
    <row r="169" spans="1:1" s="67" customFormat="1" x14ac:dyDescent="0.2">
      <c r="A169" s="1"/>
    </row>
    <row r="170" spans="1:1" s="67" customFormat="1" x14ac:dyDescent="0.2">
      <c r="A170" s="1"/>
    </row>
    <row r="171" spans="1:1" s="67" customFormat="1" x14ac:dyDescent="0.2">
      <c r="A171" s="1"/>
    </row>
    <row r="172" spans="1:1" s="67" customFormat="1" x14ac:dyDescent="0.2">
      <c r="A172" s="1"/>
    </row>
    <row r="173" spans="1:1" s="67" customFormat="1" x14ac:dyDescent="0.2">
      <c r="A173" s="1"/>
    </row>
    <row r="174" spans="1:1" s="67" customFormat="1" x14ac:dyDescent="0.2">
      <c r="A174" s="1"/>
    </row>
    <row r="175" spans="1:1" s="67" customFormat="1" x14ac:dyDescent="0.2">
      <c r="A175" s="1"/>
    </row>
    <row r="176" spans="1:1" s="67" customFormat="1" x14ac:dyDescent="0.2">
      <c r="A176" s="1"/>
    </row>
    <row r="177" spans="1:1" s="67" customFormat="1" x14ac:dyDescent="0.2">
      <c r="A177" s="1"/>
    </row>
    <row r="178" spans="1:1" s="67" customFormat="1" x14ac:dyDescent="0.2">
      <c r="A178" s="1"/>
    </row>
    <row r="179" spans="1:1" s="67" customFormat="1" x14ac:dyDescent="0.2">
      <c r="A179" s="1"/>
    </row>
    <row r="180" spans="1:1" s="67" customFormat="1" x14ac:dyDescent="0.2">
      <c r="A180" s="1"/>
    </row>
    <row r="181" spans="1:1" s="67" customFormat="1" x14ac:dyDescent="0.2">
      <c r="A181" s="1"/>
    </row>
    <row r="182" spans="1:1" s="67" customFormat="1" x14ac:dyDescent="0.2">
      <c r="A182" s="1"/>
    </row>
    <row r="183" spans="1:1" s="67" customFormat="1" x14ac:dyDescent="0.2">
      <c r="A183" s="1"/>
    </row>
    <row r="184" spans="1:1" s="67" customFormat="1" x14ac:dyDescent="0.2">
      <c r="A184" s="1"/>
    </row>
    <row r="185" spans="1:1" s="67" customFormat="1" x14ac:dyDescent="0.2">
      <c r="A185" s="1"/>
    </row>
    <row r="186" spans="1:1" s="67" customFormat="1" x14ac:dyDescent="0.2">
      <c r="A186" s="1"/>
    </row>
    <row r="187" spans="1:1" s="67" customFormat="1" x14ac:dyDescent="0.2">
      <c r="A187" s="1"/>
    </row>
    <row r="188" spans="1:1" s="67" customFormat="1" x14ac:dyDescent="0.2">
      <c r="A188" s="1"/>
    </row>
    <row r="189" spans="1:1" s="67" customFormat="1" x14ac:dyDescent="0.2">
      <c r="A189" s="1"/>
    </row>
    <row r="190" spans="1:1" s="67" customFormat="1" x14ac:dyDescent="0.2">
      <c r="A190" s="1"/>
    </row>
    <row r="191" spans="1:1" s="67" customFormat="1" x14ac:dyDescent="0.2">
      <c r="A191" s="1"/>
    </row>
    <row r="192" spans="1:1" s="67" customFormat="1" x14ac:dyDescent="0.2">
      <c r="A192" s="1"/>
    </row>
    <row r="193" spans="1:1" s="67" customFormat="1" x14ac:dyDescent="0.2">
      <c r="A193" s="1"/>
    </row>
    <row r="194" spans="1:1" s="67" customFormat="1" x14ac:dyDescent="0.2">
      <c r="A194" s="1"/>
    </row>
    <row r="195" spans="1:1" s="67" customFormat="1" x14ac:dyDescent="0.2">
      <c r="A195" s="1"/>
    </row>
    <row r="196" spans="1:1" s="67" customFormat="1" x14ac:dyDescent="0.2">
      <c r="A196" s="1"/>
    </row>
    <row r="197" spans="1:1" s="67" customFormat="1" x14ac:dyDescent="0.2">
      <c r="A197" s="1"/>
    </row>
    <row r="198" spans="1:1" s="67" customFormat="1" x14ac:dyDescent="0.2">
      <c r="A198" s="1"/>
    </row>
    <row r="199" spans="1:1" s="67" customFormat="1" x14ac:dyDescent="0.2">
      <c r="A199" s="1"/>
    </row>
    <row r="200" spans="1:1" s="67" customFormat="1" x14ac:dyDescent="0.2">
      <c r="A200" s="1"/>
    </row>
    <row r="201" spans="1:1" s="67" customFormat="1" x14ac:dyDescent="0.2">
      <c r="A201" s="1"/>
    </row>
    <row r="202" spans="1:1" s="67" customFormat="1" x14ac:dyDescent="0.2">
      <c r="A202" s="1"/>
    </row>
    <row r="203" spans="1:1" s="67" customFormat="1" x14ac:dyDescent="0.2">
      <c r="A203" s="1"/>
    </row>
    <row r="204" spans="1:1" s="67" customFormat="1" x14ac:dyDescent="0.2">
      <c r="A204" s="1"/>
    </row>
    <row r="205" spans="1:1" s="67" customFormat="1" x14ac:dyDescent="0.2">
      <c r="A205" s="1"/>
    </row>
    <row r="206" spans="1:1" s="67" customFormat="1" x14ac:dyDescent="0.2">
      <c r="A206" s="1"/>
    </row>
    <row r="207" spans="1:1" s="67" customFormat="1" x14ac:dyDescent="0.2">
      <c r="A207" s="1"/>
    </row>
    <row r="208" spans="1:1" s="67" customFormat="1" x14ac:dyDescent="0.2">
      <c r="A208" s="1"/>
    </row>
    <row r="209" spans="1:1" s="67" customFormat="1" x14ac:dyDescent="0.2">
      <c r="A209" s="1"/>
    </row>
    <row r="210" spans="1:1" s="67" customFormat="1" x14ac:dyDescent="0.2">
      <c r="A210" s="1"/>
    </row>
    <row r="211" spans="1:1" s="67" customFormat="1" x14ac:dyDescent="0.2">
      <c r="A211" s="1"/>
    </row>
    <row r="212" spans="1:1" s="67" customFormat="1" x14ac:dyDescent="0.2">
      <c r="A212" s="1"/>
    </row>
    <row r="213" spans="1:1" s="67" customFormat="1" x14ac:dyDescent="0.2">
      <c r="A213" s="1"/>
    </row>
    <row r="214" spans="1:1" s="67" customFormat="1" x14ac:dyDescent="0.2">
      <c r="A214" s="1"/>
    </row>
    <row r="215" spans="1:1" s="67" customFormat="1" x14ac:dyDescent="0.2">
      <c r="A215" s="1"/>
    </row>
    <row r="216" spans="1:1" s="67" customFormat="1" x14ac:dyDescent="0.2">
      <c r="A216" s="1"/>
    </row>
    <row r="217" spans="1:1" s="67" customFormat="1" x14ac:dyDescent="0.2">
      <c r="A217" s="1"/>
    </row>
    <row r="218" spans="1:1" s="67" customFormat="1" x14ac:dyDescent="0.2">
      <c r="A218" s="1"/>
    </row>
    <row r="219" spans="1:1" s="67" customFormat="1" x14ac:dyDescent="0.2">
      <c r="A219" s="1"/>
    </row>
    <row r="220" spans="1:1" s="67" customFormat="1" x14ac:dyDescent="0.2">
      <c r="A220" s="1"/>
    </row>
    <row r="221" spans="1:1" s="67" customFormat="1" x14ac:dyDescent="0.2">
      <c r="A221" s="1"/>
    </row>
    <row r="222" spans="1:1" s="67" customFormat="1" x14ac:dyDescent="0.2">
      <c r="A222" s="1"/>
    </row>
    <row r="223" spans="1:1" s="67" customFormat="1" x14ac:dyDescent="0.2">
      <c r="A223" s="1"/>
    </row>
    <row r="224" spans="1:1" s="67" customFormat="1" x14ac:dyDescent="0.2">
      <c r="A224" s="1"/>
    </row>
    <row r="225" spans="1:1" s="67" customFormat="1" x14ac:dyDescent="0.2">
      <c r="A225" s="1"/>
    </row>
    <row r="226" spans="1:1" s="67" customFormat="1" x14ac:dyDescent="0.2">
      <c r="A226" s="1"/>
    </row>
    <row r="227" spans="1:1" s="67" customFormat="1" x14ac:dyDescent="0.2">
      <c r="A227" s="1"/>
    </row>
    <row r="228" spans="1:1" s="67" customFormat="1" x14ac:dyDescent="0.2">
      <c r="A228" s="1"/>
    </row>
    <row r="229" spans="1:1" s="67" customFormat="1" x14ac:dyDescent="0.2">
      <c r="A229" s="1"/>
    </row>
    <row r="230" spans="1:1" s="67" customFormat="1" x14ac:dyDescent="0.2">
      <c r="A230" s="1"/>
    </row>
    <row r="231" spans="1:1" s="67" customFormat="1" x14ac:dyDescent="0.2">
      <c r="A231" s="1"/>
    </row>
    <row r="232" spans="1:1" s="67" customFormat="1" x14ac:dyDescent="0.2">
      <c r="A232" s="1"/>
    </row>
    <row r="233" spans="1:1" s="67" customFormat="1" x14ac:dyDescent="0.2">
      <c r="A233" s="1"/>
    </row>
    <row r="234" spans="1:1" s="67" customFormat="1" x14ac:dyDescent="0.2">
      <c r="A234" s="1"/>
    </row>
    <row r="235" spans="1:1" s="67" customFormat="1" x14ac:dyDescent="0.2">
      <c r="A235" s="1"/>
    </row>
    <row r="236" spans="1:1" s="67" customFormat="1" x14ac:dyDescent="0.2">
      <c r="A236" s="1"/>
    </row>
    <row r="237" spans="1:1" s="67" customFormat="1" x14ac:dyDescent="0.2">
      <c r="A237" s="1"/>
    </row>
    <row r="238" spans="1:1" s="67" customFormat="1" x14ac:dyDescent="0.2">
      <c r="A238" s="1"/>
    </row>
    <row r="239" spans="1:1" s="67" customFormat="1" x14ac:dyDescent="0.2">
      <c r="A239" s="1"/>
    </row>
    <row r="240" spans="1:1" s="67" customFormat="1" x14ac:dyDescent="0.2">
      <c r="A240" s="1"/>
    </row>
    <row r="241" spans="1:1" s="67" customFormat="1" x14ac:dyDescent="0.2">
      <c r="A241" s="1"/>
    </row>
    <row r="242" spans="1:1" s="67" customFormat="1" x14ac:dyDescent="0.2">
      <c r="A242" s="1"/>
    </row>
    <row r="243" spans="1:1" s="67" customFormat="1" x14ac:dyDescent="0.2">
      <c r="A243" s="1"/>
    </row>
    <row r="244" spans="1:1" s="67" customFormat="1" x14ac:dyDescent="0.2">
      <c r="A244" s="1"/>
    </row>
    <row r="245" spans="1:1" s="67" customFormat="1" x14ac:dyDescent="0.2">
      <c r="A245" s="1"/>
    </row>
    <row r="246" spans="1:1" s="67" customFormat="1" x14ac:dyDescent="0.2">
      <c r="A246" s="1"/>
    </row>
    <row r="247" spans="1:1" s="67" customFormat="1" x14ac:dyDescent="0.2">
      <c r="A247" s="1"/>
    </row>
    <row r="248" spans="1:1" s="67" customFormat="1" x14ac:dyDescent="0.2">
      <c r="A248" s="1"/>
    </row>
    <row r="249" spans="1:1" s="67" customFormat="1" x14ac:dyDescent="0.2">
      <c r="A249" s="1"/>
    </row>
    <row r="250" spans="1:1" s="67" customFormat="1" x14ac:dyDescent="0.2">
      <c r="A250" s="1"/>
    </row>
    <row r="251" spans="1:1" s="67" customFormat="1" x14ac:dyDescent="0.2">
      <c r="A251" s="1"/>
    </row>
    <row r="252" spans="1:1" s="67" customFormat="1" x14ac:dyDescent="0.2">
      <c r="A252" s="1"/>
    </row>
    <row r="253" spans="1:1" s="67" customFormat="1" x14ac:dyDescent="0.2">
      <c r="A253" s="1"/>
    </row>
    <row r="254" spans="1:1" s="67" customFormat="1" x14ac:dyDescent="0.2">
      <c r="A254" s="1"/>
    </row>
    <row r="255" spans="1:1" s="67" customFormat="1" x14ac:dyDescent="0.2">
      <c r="A255" s="1"/>
    </row>
    <row r="256" spans="1:1" s="67" customFormat="1" x14ac:dyDescent="0.2">
      <c r="A256" s="1"/>
    </row>
    <row r="257" spans="1:1" s="67" customFormat="1" x14ac:dyDescent="0.2">
      <c r="A257" s="1"/>
    </row>
    <row r="258" spans="1:1" s="67" customFormat="1" x14ac:dyDescent="0.2">
      <c r="A258" s="1"/>
    </row>
    <row r="259" spans="1:1" s="67" customFormat="1" x14ac:dyDescent="0.2">
      <c r="A259" s="1"/>
    </row>
    <row r="260" spans="1:1" s="67" customFormat="1" x14ac:dyDescent="0.2">
      <c r="A260" s="1"/>
    </row>
    <row r="261" spans="1:1" s="67" customFormat="1" x14ac:dyDescent="0.2">
      <c r="A261" s="1"/>
    </row>
    <row r="262" spans="1:1" s="67" customFormat="1" x14ac:dyDescent="0.2">
      <c r="A262" s="1"/>
    </row>
    <row r="263" spans="1:1" s="67" customFormat="1" x14ac:dyDescent="0.2">
      <c r="A263" s="1"/>
    </row>
    <row r="264" spans="1:1" s="67" customFormat="1" x14ac:dyDescent="0.2">
      <c r="A264" s="1"/>
    </row>
    <row r="265" spans="1:1" s="67" customFormat="1" x14ac:dyDescent="0.2">
      <c r="A265" s="1"/>
    </row>
    <row r="266" spans="1:1" s="67" customFormat="1" x14ac:dyDescent="0.2">
      <c r="A266" s="1"/>
    </row>
    <row r="267" spans="1:1" s="67" customFormat="1" x14ac:dyDescent="0.2">
      <c r="A267" s="1"/>
    </row>
    <row r="268" spans="1:1" s="67" customFormat="1" x14ac:dyDescent="0.2">
      <c r="A268" s="1"/>
    </row>
    <row r="269" spans="1:1" s="67" customFormat="1" x14ac:dyDescent="0.2">
      <c r="A269" s="1"/>
    </row>
    <row r="270" spans="1:1" s="67" customFormat="1" x14ac:dyDescent="0.2">
      <c r="A270" s="1"/>
    </row>
    <row r="271" spans="1:1" s="67" customFormat="1" x14ac:dyDescent="0.2">
      <c r="A271" s="1"/>
    </row>
    <row r="272" spans="1:1" s="67" customFormat="1" x14ac:dyDescent="0.2">
      <c r="A272" s="1"/>
    </row>
    <row r="273" spans="1:1" s="67" customFormat="1" x14ac:dyDescent="0.2">
      <c r="A273" s="1"/>
    </row>
    <row r="274" spans="1:1" s="67" customFormat="1" x14ac:dyDescent="0.2">
      <c r="A274" s="1"/>
    </row>
    <row r="275" spans="1:1" s="67" customFormat="1" x14ac:dyDescent="0.2">
      <c r="A275" s="1"/>
    </row>
    <row r="276" spans="1:1" s="67" customFormat="1" x14ac:dyDescent="0.2">
      <c r="A276" s="1"/>
    </row>
    <row r="277" spans="1:1" s="67" customFormat="1" x14ac:dyDescent="0.2">
      <c r="A277" s="1"/>
    </row>
    <row r="278" spans="1:1" s="67" customFormat="1" x14ac:dyDescent="0.2">
      <c r="A278" s="1"/>
    </row>
    <row r="279" spans="1:1" s="67" customFormat="1" x14ac:dyDescent="0.2">
      <c r="A279" s="1"/>
    </row>
    <row r="280" spans="1:1" s="67" customFormat="1" x14ac:dyDescent="0.2">
      <c r="A280" s="1"/>
    </row>
    <row r="281" spans="1:1" s="67" customFormat="1" x14ac:dyDescent="0.2">
      <c r="A281" s="1"/>
    </row>
    <row r="282" spans="1:1" s="67" customFormat="1" x14ac:dyDescent="0.2">
      <c r="A282" s="1"/>
    </row>
    <row r="283" spans="1:1" s="67" customFormat="1" x14ac:dyDescent="0.2">
      <c r="A283" s="1"/>
    </row>
    <row r="284" spans="1:1" s="67" customFormat="1" x14ac:dyDescent="0.2">
      <c r="A284" s="1"/>
    </row>
    <row r="285" spans="1:1" s="67" customFormat="1" x14ac:dyDescent="0.2">
      <c r="A285" s="1"/>
    </row>
    <row r="286" spans="1:1" s="67" customFormat="1" x14ac:dyDescent="0.2">
      <c r="A286" s="1"/>
    </row>
    <row r="287" spans="1:1" s="67" customFormat="1" x14ac:dyDescent="0.2">
      <c r="A287" s="1"/>
    </row>
    <row r="288" spans="1:1" s="67" customFormat="1" x14ac:dyDescent="0.2">
      <c r="A288" s="1"/>
    </row>
    <row r="289" spans="1:1" s="67" customFormat="1" x14ac:dyDescent="0.2">
      <c r="A289" s="1"/>
    </row>
    <row r="290" spans="1:1" s="67" customFormat="1" x14ac:dyDescent="0.2">
      <c r="A290" s="1"/>
    </row>
    <row r="291" spans="1:1" s="67" customFormat="1" x14ac:dyDescent="0.2">
      <c r="A291" s="1"/>
    </row>
    <row r="292" spans="1:1" s="67" customFormat="1" x14ac:dyDescent="0.2">
      <c r="A292" s="1"/>
    </row>
    <row r="293" spans="1:1" s="67" customFormat="1" x14ac:dyDescent="0.2">
      <c r="A293" s="1"/>
    </row>
    <row r="294" spans="1:1" s="67" customFormat="1" x14ac:dyDescent="0.2">
      <c r="A294" s="1"/>
    </row>
    <row r="295" spans="1:1" s="67" customFormat="1" x14ac:dyDescent="0.2">
      <c r="A295" s="1"/>
    </row>
    <row r="296" spans="1:1" s="67" customFormat="1" x14ac:dyDescent="0.2">
      <c r="A296" s="1"/>
    </row>
    <row r="297" spans="1:1" s="67" customFormat="1" x14ac:dyDescent="0.2">
      <c r="A297" s="1"/>
    </row>
    <row r="298" spans="1:1" s="67" customFormat="1" x14ac:dyDescent="0.2">
      <c r="A298" s="1"/>
    </row>
    <row r="299" spans="1:1" s="67" customFormat="1" x14ac:dyDescent="0.2">
      <c r="A299" s="1"/>
    </row>
    <row r="300" spans="1:1" s="67" customFormat="1" x14ac:dyDescent="0.2">
      <c r="A300" s="1"/>
    </row>
    <row r="301" spans="1:1" s="67" customFormat="1" x14ac:dyDescent="0.2">
      <c r="A301" s="1"/>
    </row>
    <row r="302" spans="1:1" s="67" customFormat="1" x14ac:dyDescent="0.2">
      <c r="A302" s="1"/>
    </row>
    <row r="303" spans="1:1" s="67" customFormat="1" x14ac:dyDescent="0.2">
      <c r="A303" s="1"/>
    </row>
    <row r="304" spans="1:1" s="67" customFormat="1" x14ac:dyDescent="0.2">
      <c r="A304" s="1"/>
    </row>
    <row r="305" spans="1:1" s="67" customFormat="1" x14ac:dyDescent="0.2">
      <c r="A305" s="1"/>
    </row>
    <row r="306" spans="1:1" s="67" customFormat="1" x14ac:dyDescent="0.2">
      <c r="A306" s="1"/>
    </row>
    <row r="307" spans="1:1" s="67" customFormat="1" x14ac:dyDescent="0.2">
      <c r="A307" s="1"/>
    </row>
    <row r="308" spans="1:1" s="67" customFormat="1" x14ac:dyDescent="0.2">
      <c r="A308" s="1"/>
    </row>
    <row r="309" spans="1:1" s="67" customFormat="1" x14ac:dyDescent="0.2">
      <c r="A309" s="1"/>
    </row>
    <row r="310" spans="1:1" s="67" customFormat="1" x14ac:dyDescent="0.2">
      <c r="A310" s="1"/>
    </row>
    <row r="311" spans="1:1" s="67" customFormat="1" x14ac:dyDescent="0.2">
      <c r="A311" s="1"/>
    </row>
    <row r="312" spans="1:1" s="67" customFormat="1" x14ac:dyDescent="0.2">
      <c r="A312" s="1"/>
    </row>
    <row r="313" spans="1:1" s="67" customFormat="1" x14ac:dyDescent="0.2">
      <c r="A313" s="1"/>
    </row>
    <row r="314" spans="1:1" s="67" customFormat="1" x14ac:dyDescent="0.2">
      <c r="A314" s="1"/>
    </row>
    <row r="315" spans="1:1" s="67" customFormat="1" x14ac:dyDescent="0.2">
      <c r="A315" s="1"/>
    </row>
    <row r="316" spans="1:1" s="67" customFormat="1" x14ac:dyDescent="0.2">
      <c r="A316" s="1"/>
    </row>
    <row r="317" spans="1:1" s="67" customFormat="1" x14ac:dyDescent="0.2">
      <c r="A317" s="1"/>
    </row>
    <row r="318" spans="1:1" s="67" customFormat="1" x14ac:dyDescent="0.2">
      <c r="A318" s="1"/>
    </row>
    <row r="319" spans="1:1" s="67" customFormat="1" x14ac:dyDescent="0.2">
      <c r="A319" s="1"/>
    </row>
    <row r="320" spans="1:1" s="67" customFormat="1" x14ac:dyDescent="0.2">
      <c r="A320" s="1"/>
    </row>
    <row r="321" spans="1:1" s="67" customFormat="1" x14ac:dyDescent="0.2">
      <c r="A321" s="1"/>
    </row>
    <row r="322" spans="1:1" s="67" customFormat="1" x14ac:dyDescent="0.2">
      <c r="A322" s="1"/>
    </row>
    <row r="323" spans="1:1" s="67" customFormat="1" x14ac:dyDescent="0.2">
      <c r="A323" s="1"/>
    </row>
    <row r="324" spans="1:1" s="67" customFormat="1" x14ac:dyDescent="0.2">
      <c r="A324" s="1"/>
    </row>
    <row r="325" spans="1:1" s="67" customFormat="1" x14ac:dyDescent="0.2">
      <c r="A325" s="1"/>
    </row>
    <row r="326" spans="1:1" s="67" customFormat="1" x14ac:dyDescent="0.2">
      <c r="A326" s="1"/>
    </row>
    <row r="327" spans="1:1" s="67" customFormat="1" x14ac:dyDescent="0.2">
      <c r="A327" s="1"/>
    </row>
    <row r="328" spans="1:1" s="67" customFormat="1" x14ac:dyDescent="0.2">
      <c r="A328" s="1"/>
    </row>
    <row r="329" spans="1:1" s="67" customFormat="1" x14ac:dyDescent="0.2">
      <c r="A329" s="1"/>
    </row>
    <row r="330" spans="1:1" s="67" customFormat="1" x14ac:dyDescent="0.2">
      <c r="A330" s="1"/>
    </row>
    <row r="331" spans="1:1" s="67" customFormat="1" x14ac:dyDescent="0.2">
      <c r="A331" s="1"/>
    </row>
    <row r="332" spans="1:1" s="67" customFormat="1" x14ac:dyDescent="0.2">
      <c r="A332" s="1"/>
    </row>
    <row r="333" spans="1:1" s="67" customFormat="1" x14ac:dyDescent="0.2">
      <c r="A333" s="1"/>
    </row>
    <row r="334" spans="1:1" s="67" customFormat="1" x14ac:dyDescent="0.2">
      <c r="A334" s="1"/>
    </row>
    <row r="335" spans="1:1" s="67" customFormat="1" x14ac:dyDescent="0.2">
      <c r="A335" s="1"/>
    </row>
    <row r="336" spans="1:1" s="67" customFormat="1" x14ac:dyDescent="0.2">
      <c r="A336" s="1"/>
    </row>
    <row r="337" spans="1:1" s="67" customFormat="1" x14ac:dyDescent="0.2">
      <c r="A337" s="1"/>
    </row>
    <row r="338" spans="1:1" s="67" customFormat="1" x14ac:dyDescent="0.2">
      <c r="A338" s="1"/>
    </row>
    <row r="339" spans="1:1" s="67" customFormat="1" x14ac:dyDescent="0.2">
      <c r="A339" s="1"/>
    </row>
    <row r="340" spans="1:1" s="67" customFormat="1" x14ac:dyDescent="0.2">
      <c r="A340" s="1"/>
    </row>
    <row r="341" spans="1:1" s="67" customFormat="1" x14ac:dyDescent="0.2">
      <c r="A341" s="1"/>
    </row>
    <row r="342" spans="1:1" s="67" customFormat="1" x14ac:dyDescent="0.2">
      <c r="A342" s="1"/>
    </row>
    <row r="343" spans="1:1" s="67" customFormat="1" x14ac:dyDescent="0.2">
      <c r="A343" s="1"/>
    </row>
    <row r="344" spans="1:1" s="67" customFormat="1" x14ac:dyDescent="0.2">
      <c r="A344" s="1"/>
    </row>
    <row r="345" spans="1:1" s="67" customFormat="1" x14ac:dyDescent="0.2">
      <c r="A345" s="1"/>
    </row>
    <row r="346" spans="1:1" s="67" customFormat="1" x14ac:dyDescent="0.2">
      <c r="A346" s="1"/>
    </row>
    <row r="347" spans="1:1" s="67" customFormat="1" x14ac:dyDescent="0.2">
      <c r="A347" s="1"/>
    </row>
    <row r="348" spans="1:1" s="67" customFormat="1" x14ac:dyDescent="0.2">
      <c r="A348" s="1"/>
    </row>
    <row r="349" spans="1:1" s="67" customFormat="1" x14ac:dyDescent="0.2">
      <c r="A349" s="1"/>
    </row>
    <row r="350" spans="1:1" s="67" customFormat="1" x14ac:dyDescent="0.2">
      <c r="A350" s="1"/>
    </row>
    <row r="351" spans="1:1" s="67" customFormat="1" x14ac:dyDescent="0.2">
      <c r="A351" s="1"/>
    </row>
  </sheetData>
  <mergeCells count="6">
    <mergeCell ref="A73:K73"/>
    <mergeCell ref="B1:C1"/>
    <mergeCell ref="J1:K1"/>
    <mergeCell ref="D1:E1"/>
    <mergeCell ref="F1:G1"/>
    <mergeCell ref="H1:I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  <ignoredErrors>
    <ignoredError sqref="J44:J45 J43 J46 J36:J42 H44:H46 E46 H43 D44:D46 F44:F46 E44:E45 G44 F47 G48 D47 H47 J48 J47 C49 D48 B47:B48 G47 I47:I48 H49 F48 K47:K48 H48 E47:E48 C47:C48 K49 I49 J49 G49 K50 J50 I50 G50 H50 F49 E49 D49 E50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I77"/>
  <sheetViews>
    <sheetView showGridLines="0" zoomScaleNormal="100" workbookViewId="0">
      <pane ySplit="2" topLeftCell="A52" activePane="bottomLeft" state="frozen"/>
      <selection activeCell="K87" sqref="K87"/>
      <selection pane="bottomLeft" activeCell="H63" sqref="H63"/>
    </sheetView>
  </sheetViews>
  <sheetFormatPr defaultColWidth="8.85546875" defaultRowHeight="12.75" x14ac:dyDescent="0.2"/>
  <cols>
    <col min="1" max="1" width="5.5703125" style="1" customWidth="1"/>
    <col min="2" max="9" width="9.5703125" customWidth="1"/>
  </cols>
  <sheetData>
    <row r="1" spans="1:9" s="6" customFormat="1" ht="20.25" customHeight="1" x14ac:dyDescent="0.2">
      <c r="A1" s="16"/>
      <c r="B1" s="440" t="s">
        <v>4</v>
      </c>
      <c r="C1" s="437"/>
      <c r="D1" s="434" t="s">
        <v>5</v>
      </c>
      <c r="E1" s="435"/>
      <c r="F1" s="434" t="s">
        <v>6</v>
      </c>
      <c r="G1" s="437"/>
      <c r="H1" s="434" t="s">
        <v>8</v>
      </c>
      <c r="I1" s="436"/>
    </row>
    <row r="2" spans="1:9" s="2" customFormat="1" ht="25.5" customHeight="1" thickBot="1" x14ac:dyDescent="0.25">
      <c r="A2" s="5" t="s">
        <v>9</v>
      </c>
      <c r="B2" s="3" t="s">
        <v>0</v>
      </c>
      <c r="C2" s="4" t="s">
        <v>1</v>
      </c>
      <c r="D2" s="3" t="s">
        <v>0</v>
      </c>
      <c r="E2" s="4" t="s">
        <v>1</v>
      </c>
      <c r="F2" s="3" t="s">
        <v>0</v>
      </c>
      <c r="G2" s="4" t="s">
        <v>1</v>
      </c>
      <c r="H2" s="3" t="s">
        <v>0</v>
      </c>
      <c r="I2" s="4" t="s">
        <v>1</v>
      </c>
    </row>
    <row r="3" spans="1:9" ht="17.25" customHeight="1" thickTop="1" x14ac:dyDescent="0.2">
      <c r="A3" s="17">
        <v>1964</v>
      </c>
      <c r="B3" s="8"/>
      <c r="C3" s="9"/>
      <c r="D3" s="8"/>
      <c r="E3" s="9"/>
      <c r="F3" s="8"/>
      <c r="G3" s="9"/>
      <c r="H3" s="8"/>
      <c r="I3" s="9"/>
    </row>
    <row r="4" spans="1:9" x14ac:dyDescent="0.2">
      <c r="A4" s="17">
        <v>1965</v>
      </c>
      <c r="B4" s="8"/>
      <c r="C4" s="33"/>
      <c r="D4" s="8"/>
      <c r="E4" s="10"/>
      <c r="F4" s="8"/>
      <c r="G4" s="10"/>
      <c r="H4" s="8"/>
      <c r="I4" s="11"/>
    </row>
    <row r="5" spans="1:9" x14ac:dyDescent="0.2">
      <c r="A5" s="17">
        <v>1966</v>
      </c>
      <c r="B5" s="8"/>
      <c r="C5" s="33"/>
      <c r="D5" s="8"/>
      <c r="E5" s="10"/>
      <c r="F5" s="8"/>
      <c r="G5" s="10"/>
      <c r="H5" s="8"/>
      <c r="I5" s="11"/>
    </row>
    <row r="6" spans="1:9" x14ac:dyDescent="0.2">
      <c r="A6" s="17">
        <v>1967</v>
      </c>
      <c r="B6" s="8"/>
      <c r="C6" s="33"/>
      <c r="D6" s="8"/>
      <c r="E6" s="10"/>
      <c r="F6" s="8"/>
      <c r="G6" s="10"/>
      <c r="H6" s="8"/>
      <c r="I6" s="11"/>
    </row>
    <row r="7" spans="1:9" x14ac:dyDescent="0.2">
      <c r="A7" s="17">
        <v>1968</v>
      </c>
      <c r="B7" s="8"/>
      <c r="C7" s="33"/>
      <c r="D7" s="8"/>
      <c r="E7" s="10"/>
      <c r="F7" s="8"/>
      <c r="G7" s="10"/>
      <c r="H7" s="8"/>
      <c r="I7" s="11"/>
    </row>
    <row r="8" spans="1:9" x14ac:dyDescent="0.2">
      <c r="A8" s="17">
        <v>1969</v>
      </c>
      <c r="B8" s="8"/>
      <c r="C8" s="33"/>
      <c r="D8" s="8"/>
      <c r="E8" s="10"/>
      <c r="F8" s="8"/>
      <c r="G8" s="10"/>
      <c r="H8" s="8"/>
      <c r="I8" s="11"/>
    </row>
    <row r="9" spans="1:9" x14ac:dyDescent="0.2">
      <c r="A9" s="17">
        <v>1970</v>
      </c>
      <c r="B9" s="8"/>
      <c r="C9" s="33"/>
      <c r="D9" s="8"/>
      <c r="E9" s="10"/>
      <c r="F9" s="8"/>
      <c r="G9" s="10"/>
      <c r="H9" s="8"/>
      <c r="I9" s="11"/>
    </row>
    <row r="10" spans="1:9" x14ac:dyDescent="0.2">
      <c r="A10" s="17">
        <v>1971</v>
      </c>
      <c r="B10" s="8"/>
      <c r="C10" s="33"/>
      <c r="D10" s="8"/>
      <c r="E10" s="10"/>
      <c r="F10" s="8"/>
      <c r="G10" s="10"/>
      <c r="H10" s="8"/>
      <c r="I10" s="11"/>
    </row>
    <row r="11" spans="1:9" x14ac:dyDescent="0.2">
      <c r="A11" s="17">
        <v>1972</v>
      </c>
      <c r="B11" s="8"/>
      <c r="C11" s="33"/>
      <c r="D11" s="8"/>
      <c r="E11" s="10"/>
      <c r="F11" s="8"/>
      <c r="G11" s="10"/>
      <c r="H11" s="8"/>
      <c r="I11" s="11"/>
    </row>
    <row r="12" spans="1:9" x14ac:dyDescent="0.2">
      <c r="A12" s="17">
        <v>1973</v>
      </c>
      <c r="B12" s="8"/>
      <c r="C12" s="33"/>
      <c r="D12" s="8"/>
      <c r="E12" s="10"/>
      <c r="F12" s="8"/>
      <c r="G12" s="10"/>
      <c r="H12" s="8"/>
      <c r="I12" s="11"/>
    </row>
    <row r="13" spans="1:9" x14ac:dyDescent="0.2">
      <c r="A13" s="17">
        <v>1974</v>
      </c>
      <c r="B13" s="8"/>
      <c r="C13" s="33"/>
      <c r="D13" s="8"/>
      <c r="E13" s="10"/>
      <c r="F13" s="8"/>
      <c r="G13" s="10"/>
      <c r="H13" s="8"/>
      <c r="I13" s="11"/>
    </row>
    <row r="14" spans="1:9" x14ac:dyDescent="0.2">
      <c r="A14" s="17">
        <v>1975</v>
      </c>
      <c r="B14" s="8"/>
      <c r="C14" s="33"/>
      <c r="D14" s="8"/>
      <c r="E14" s="10"/>
      <c r="F14" s="8"/>
      <c r="G14" s="10"/>
      <c r="H14" s="8"/>
      <c r="I14" s="11"/>
    </row>
    <row r="15" spans="1:9" x14ac:dyDescent="0.2">
      <c r="A15" s="17">
        <v>1976</v>
      </c>
      <c r="B15" s="8"/>
      <c r="C15" s="33"/>
      <c r="D15" s="8"/>
      <c r="E15" s="10"/>
      <c r="F15" s="8"/>
      <c r="G15" s="10"/>
      <c r="H15" s="8"/>
      <c r="I15" s="11"/>
    </row>
    <row r="16" spans="1:9" x14ac:dyDescent="0.2">
      <c r="A16" s="17">
        <v>1977</v>
      </c>
      <c r="B16" s="8"/>
      <c r="C16" s="33"/>
      <c r="D16" s="8"/>
      <c r="E16" s="10"/>
      <c r="F16" s="8"/>
      <c r="G16" s="10"/>
      <c r="H16" s="8"/>
      <c r="I16" s="11"/>
    </row>
    <row r="17" spans="1:9" x14ac:dyDescent="0.2">
      <c r="A17" s="17">
        <v>1978</v>
      </c>
      <c r="B17" s="8"/>
      <c r="C17" s="33"/>
      <c r="D17" s="8"/>
      <c r="E17" s="10"/>
      <c r="F17" s="8"/>
      <c r="G17" s="10"/>
      <c r="H17" s="8"/>
      <c r="I17" s="11"/>
    </row>
    <row r="18" spans="1:9" x14ac:dyDescent="0.2">
      <c r="A18" s="17">
        <v>1979</v>
      </c>
      <c r="B18" s="8"/>
      <c r="C18" s="33"/>
      <c r="D18" s="8"/>
      <c r="E18" s="10"/>
      <c r="F18" s="8"/>
      <c r="G18" s="10"/>
      <c r="H18" s="8"/>
      <c r="I18" s="11"/>
    </row>
    <row r="19" spans="1:9" x14ac:dyDescent="0.2">
      <c r="A19" s="17">
        <v>1980</v>
      </c>
      <c r="B19" s="8"/>
      <c r="C19" s="33"/>
      <c r="D19" s="8"/>
      <c r="E19" s="10"/>
      <c r="F19" s="8"/>
      <c r="G19" s="10"/>
      <c r="H19" s="8"/>
      <c r="I19" s="11"/>
    </row>
    <row r="20" spans="1:9" x14ac:dyDescent="0.2">
      <c r="A20" s="17">
        <v>1981</v>
      </c>
      <c r="B20" s="8"/>
      <c r="C20" s="33"/>
      <c r="D20" s="8"/>
      <c r="E20" s="10"/>
      <c r="F20" s="8"/>
      <c r="G20" s="10"/>
      <c r="H20" s="8"/>
      <c r="I20" s="11"/>
    </row>
    <row r="21" spans="1:9" x14ac:dyDescent="0.2">
      <c r="A21" s="17">
        <v>1982</v>
      </c>
      <c r="B21" s="8"/>
      <c r="C21" s="33"/>
      <c r="D21" s="8"/>
      <c r="E21" s="10"/>
      <c r="F21" s="8"/>
      <c r="G21" s="10"/>
      <c r="H21" s="8"/>
      <c r="I21" s="11"/>
    </row>
    <row r="22" spans="1:9" x14ac:dyDescent="0.2">
      <c r="A22" s="17">
        <v>1983</v>
      </c>
      <c r="B22" s="8"/>
      <c r="C22" s="33"/>
      <c r="D22" s="8"/>
      <c r="E22" s="10"/>
      <c r="F22" s="8"/>
      <c r="G22" s="10"/>
      <c r="H22" s="8"/>
      <c r="I22" s="11"/>
    </row>
    <row r="23" spans="1:9" x14ac:dyDescent="0.2">
      <c r="A23" s="17">
        <v>1984</v>
      </c>
      <c r="B23" s="51">
        <f>'Le-AD+LD+Dom'!B23</f>
        <v>1</v>
      </c>
      <c r="C23" s="52">
        <f>'Le-AD+LD+Dom'!C23</f>
        <v>1</v>
      </c>
      <c r="D23" s="51"/>
      <c r="E23" s="53"/>
      <c r="F23" s="51"/>
      <c r="G23" s="53"/>
      <c r="H23" s="51">
        <f>'Le-AD+LD+Dom'!AC23</f>
        <v>1</v>
      </c>
      <c r="I23" s="54">
        <f>'Le-AD+LD+Dom'!AD23</f>
        <v>1</v>
      </c>
    </row>
    <row r="24" spans="1:9" x14ac:dyDescent="0.2">
      <c r="A24" s="17">
        <v>1985</v>
      </c>
      <c r="B24" s="51">
        <f>'Le-AD+LD+Dom'!B24</f>
        <v>4</v>
      </c>
      <c r="C24" s="52">
        <f>'Le-AD+LD+Dom'!C24</f>
        <v>5</v>
      </c>
      <c r="D24" s="51"/>
      <c r="E24" s="53"/>
      <c r="F24" s="51">
        <f>'Le-AD+LD+Dom'!T24</f>
        <v>8</v>
      </c>
      <c r="G24" s="53">
        <f>'Le-AD+LD+Dom'!U24</f>
        <v>8</v>
      </c>
      <c r="H24" s="51">
        <f>'Le-AD+LD+Dom'!AC24</f>
        <v>12</v>
      </c>
      <c r="I24" s="54">
        <f>'Le-AD+LD+Dom'!AD24</f>
        <v>13</v>
      </c>
    </row>
    <row r="25" spans="1:9" x14ac:dyDescent="0.2">
      <c r="A25" s="17">
        <v>1986</v>
      </c>
      <c r="B25" s="51">
        <f>'Le-AD+LD+Dom'!B25</f>
        <v>9</v>
      </c>
      <c r="C25" s="52">
        <f>'Le-AD+LD+Dom'!C25</f>
        <v>14</v>
      </c>
      <c r="D25" s="51"/>
      <c r="E25" s="53"/>
      <c r="F25" s="51">
        <f>'Le-AD+LD+Dom'!T25</f>
        <v>10</v>
      </c>
      <c r="G25" s="53">
        <f>'Le-AD+LD+Dom'!U25</f>
        <v>18</v>
      </c>
      <c r="H25" s="51">
        <f>'Le-AD+LD+Dom'!AC25</f>
        <v>19</v>
      </c>
      <c r="I25" s="54">
        <f>'Le-AD+LD+Dom'!AD25</f>
        <v>32</v>
      </c>
    </row>
    <row r="26" spans="1:9" x14ac:dyDescent="0.2">
      <c r="A26" s="17">
        <v>1987</v>
      </c>
      <c r="B26" s="51">
        <f>'Le-AD+LD+Dom'!B26</f>
        <v>16</v>
      </c>
      <c r="C26" s="52">
        <f>'Le-AD+LD+Dom'!C26</f>
        <v>30</v>
      </c>
      <c r="D26" s="51"/>
      <c r="E26" s="53"/>
      <c r="F26" s="51">
        <f>'Le-AD+LD+Dom'!T26</f>
        <v>10</v>
      </c>
      <c r="G26" s="53">
        <f>'Le-AD+LD+Dom'!U26</f>
        <v>28</v>
      </c>
      <c r="H26" s="51">
        <f>'Le-AD+LD+Dom'!AC26</f>
        <v>26</v>
      </c>
      <c r="I26" s="54">
        <f>'Le-AD+LD+Dom'!AD26</f>
        <v>58</v>
      </c>
    </row>
    <row r="27" spans="1:9" x14ac:dyDescent="0.2">
      <c r="A27" s="17">
        <v>1988</v>
      </c>
      <c r="B27" s="51">
        <f>'Le-AD+LD+Dom'!B27</f>
        <v>19</v>
      </c>
      <c r="C27" s="52">
        <f>'Le-AD+LD+Dom'!C27</f>
        <v>49</v>
      </c>
      <c r="D27" s="51">
        <f>'Le-AD+LD+Dom'!K27</f>
        <v>1</v>
      </c>
      <c r="E27" s="53">
        <f>'Le-AD+LD+Dom'!L27</f>
        <v>1</v>
      </c>
      <c r="F27" s="51">
        <f>'Le-AD+LD+Dom'!T27</f>
        <v>22</v>
      </c>
      <c r="G27" s="53">
        <f>'Le-AD+LD+Dom'!U27</f>
        <v>50</v>
      </c>
      <c r="H27" s="51">
        <f>'Le-AD+LD+Dom'!AC27</f>
        <v>42</v>
      </c>
      <c r="I27" s="54">
        <f>'Le-AD+LD+Dom'!AD27</f>
        <v>100</v>
      </c>
    </row>
    <row r="28" spans="1:9" x14ac:dyDescent="0.2">
      <c r="A28" s="17">
        <v>1989</v>
      </c>
      <c r="B28" s="51">
        <f>'Le-AD+LD+Dom'!B28</f>
        <v>19</v>
      </c>
      <c r="C28" s="52">
        <f>'Le-AD+LD+Dom'!C28</f>
        <v>68</v>
      </c>
      <c r="D28" s="51"/>
      <c r="E28" s="53">
        <f>'Le-AD+LD+Dom'!L28</f>
        <v>1</v>
      </c>
      <c r="F28" s="51">
        <f>'Le-AD+LD+Dom'!T28</f>
        <v>20</v>
      </c>
      <c r="G28" s="53">
        <f>'Le-AD+LD+Dom'!U28</f>
        <v>70</v>
      </c>
      <c r="H28" s="51">
        <f>'Le-AD+LD+Dom'!AC28</f>
        <v>39</v>
      </c>
      <c r="I28" s="54">
        <f>'Le-AD+LD+Dom'!AD28</f>
        <v>139</v>
      </c>
    </row>
    <row r="29" spans="1:9" x14ac:dyDescent="0.2">
      <c r="A29" s="17">
        <v>1990</v>
      </c>
      <c r="B29" s="51">
        <f>'Le-AD+LD+Dom'!B29</f>
        <v>23</v>
      </c>
      <c r="C29" s="52">
        <f>'Le-AD+LD+Dom'!C29</f>
        <v>91</v>
      </c>
      <c r="D29" s="51">
        <f>'Le-AD+LD+Dom'!K29</f>
        <v>1</v>
      </c>
      <c r="E29" s="53">
        <f>'Le-AD+LD+Dom'!L29</f>
        <v>2</v>
      </c>
      <c r="F29" s="51">
        <f>'Le-AD+LD+Dom'!T29</f>
        <v>24</v>
      </c>
      <c r="G29" s="53">
        <f>'Le-AD+LD+Dom'!U29</f>
        <v>94</v>
      </c>
      <c r="H29" s="51">
        <f>'Le-AD+LD+Dom'!AC29</f>
        <v>48</v>
      </c>
      <c r="I29" s="54">
        <f>'Le-AD+LD+Dom'!AD29</f>
        <v>187</v>
      </c>
    </row>
    <row r="30" spans="1:9" x14ac:dyDescent="0.2">
      <c r="A30" s="17">
        <v>1991</v>
      </c>
      <c r="B30" s="51">
        <f>'Le-AD+LD+Dom'!B30</f>
        <v>35</v>
      </c>
      <c r="C30" s="52">
        <f>'Le-AD+LD+Dom'!C30</f>
        <v>126</v>
      </c>
      <c r="D30" s="51">
        <f>'Le-AD+LD+Dom'!K30</f>
        <v>0</v>
      </c>
      <c r="E30" s="53">
        <f>'Le-AD+LD+Dom'!L30</f>
        <v>2</v>
      </c>
      <c r="F30" s="51">
        <f>'Le-AD+LD+Dom'!T30</f>
        <v>27</v>
      </c>
      <c r="G30" s="53">
        <f>'Le-AD+LD+Dom'!U30</f>
        <v>121</v>
      </c>
      <c r="H30" s="51">
        <f>'Le-AD+LD+Dom'!AC30</f>
        <v>62</v>
      </c>
      <c r="I30" s="54">
        <f>'Le-AD+LD+Dom'!AD30</f>
        <v>249</v>
      </c>
    </row>
    <row r="31" spans="1:9" x14ac:dyDescent="0.2">
      <c r="A31" s="17">
        <v>1992</v>
      </c>
      <c r="B31" s="51">
        <f>'Le-AD+LD+Dom'!B31</f>
        <v>29</v>
      </c>
      <c r="C31" s="52">
        <f>'Le-AD+LD+Dom'!C31</f>
        <v>155</v>
      </c>
      <c r="D31" s="51">
        <f>'Le-AD+LD+Dom'!K31</f>
        <v>6</v>
      </c>
      <c r="E31" s="53">
        <f>'Le-AD+LD+Dom'!L31</f>
        <v>8</v>
      </c>
      <c r="F31" s="51">
        <f>'Le-AD+LD+Dom'!T31</f>
        <v>34</v>
      </c>
      <c r="G31" s="53">
        <f>'Le-AD+LD+Dom'!U31</f>
        <v>155</v>
      </c>
      <c r="H31" s="51">
        <f>'Le-AD+LD+Dom'!AC31</f>
        <v>69</v>
      </c>
      <c r="I31" s="54">
        <f>'Le-AD+LD+Dom'!AD31</f>
        <v>318</v>
      </c>
    </row>
    <row r="32" spans="1:9" x14ac:dyDescent="0.2">
      <c r="A32" s="17">
        <v>1993</v>
      </c>
      <c r="B32" s="51">
        <f>'Le-AD+LD+Dom'!B32</f>
        <v>41</v>
      </c>
      <c r="C32" s="52">
        <f>'Le-AD+LD+Dom'!C32</f>
        <v>196</v>
      </c>
      <c r="D32" s="51">
        <f>'Le-AD+LD+Dom'!K32</f>
        <v>8</v>
      </c>
      <c r="E32" s="53">
        <f>'Le-AD+LD+Dom'!L32</f>
        <v>16</v>
      </c>
      <c r="F32" s="51">
        <f>'Le-AD+LD+Dom'!T32</f>
        <v>33</v>
      </c>
      <c r="G32" s="53">
        <f>'Le-AD+LD+Dom'!U32</f>
        <v>188</v>
      </c>
      <c r="H32" s="51">
        <f>'Le-AD+LD+Dom'!AC32</f>
        <v>82</v>
      </c>
      <c r="I32" s="54">
        <f>'Le-AD+LD+Dom'!AD32</f>
        <v>400</v>
      </c>
    </row>
    <row r="33" spans="1:9" x14ac:dyDescent="0.2">
      <c r="A33" s="17">
        <v>1994</v>
      </c>
      <c r="B33" s="51">
        <f>'Le-AD+LD+Dom'!B33</f>
        <v>40</v>
      </c>
      <c r="C33" s="52">
        <f>'Le-AD+LD+Dom'!C33</f>
        <v>236</v>
      </c>
      <c r="D33" s="51">
        <f>'Le-AD+LD+Dom'!K33</f>
        <v>6</v>
      </c>
      <c r="E33" s="53">
        <f>'Le-AD+LD+Dom'!L33</f>
        <v>22</v>
      </c>
      <c r="F33" s="51">
        <f>'Le-AD+LD+Dom'!T33</f>
        <v>31</v>
      </c>
      <c r="G33" s="53">
        <f>'Le-AD+LD+Dom'!U33</f>
        <v>219</v>
      </c>
      <c r="H33" s="51">
        <f>'Le-AD+LD+Dom'!AC33</f>
        <v>77</v>
      </c>
      <c r="I33" s="54">
        <f>'Le-AD+LD+Dom'!AD33</f>
        <v>477</v>
      </c>
    </row>
    <row r="34" spans="1:9" x14ac:dyDescent="0.2">
      <c r="A34" s="17">
        <v>1995</v>
      </c>
      <c r="B34" s="51">
        <f>'Le-AD+LD+Dom'!B34</f>
        <v>25</v>
      </c>
      <c r="C34" s="52">
        <f>'Le-AD+LD+Dom'!C34</f>
        <v>261</v>
      </c>
      <c r="D34" s="51">
        <f>'Le-AD+LD+Dom'!K34</f>
        <v>12</v>
      </c>
      <c r="E34" s="53">
        <f>'Le-AD+LD+Dom'!L34</f>
        <v>34</v>
      </c>
      <c r="F34" s="51">
        <f>'Le-AD+LD+Dom'!T34</f>
        <v>50</v>
      </c>
      <c r="G34" s="53">
        <f>'Le-AD+LD+Dom'!U34</f>
        <v>269</v>
      </c>
      <c r="H34" s="51">
        <f>'Le-AD+LD+Dom'!AC34</f>
        <v>87</v>
      </c>
      <c r="I34" s="54">
        <f>'Le-AD+LD+Dom'!AD34</f>
        <v>564</v>
      </c>
    </row>
    <row r="35" spans="1:9" x14ac:dyDescent="0.2">
      <c r="A35" s="17">
        <v>1996</v>
      </c>
      <c r="B35" s="51">
        <f>'Le-AD+LD+Dom'!B35</f>
        <v>27</v>
      </c>
      <c r="C35" s="52">
        <f>'Le-AD+LD+Dom'!C35</f>
        <v>288</v>
      </c>
      <c r="D35" s="51">
        <f>'Le-AD+LD+Dom'!K35</f>
        <v>5</v>
      </c>
      <c r="E35" s="53">
        <f>'Le-AD+LD+Dom'!L35</f>
        <v>39</v>
      </c>
      <c r="F35" s="51">
        <f>'Le-AD+LD+Dom'!T35</f>
        <v>43</v>
      </c>
      <c r="G35" s="53">
        <f>'Le-AD+LD+Dom'!U35</f>
        <v>312</v>
      </c>
      <c r="H35" s="51">
        <f>'Le-AD+LD+Dom'!AC35</f>
        <v>75</v>
      </c>
      <c r="I35" s="54">
        <f>'Le-AD+LD+Dom'!AD35</f>
        <v>639</v>
      </c>
    </row>
    <row r="36" spans="1:9" x14ac:dyDescent="0.2">
      <c r="A36" s="17">
        <v>1997</v>
      </c>
      <c r="B36" s="51">
        <f>'Le-AD+LD+Dom'!B36</f>
        <v>34</v>
      </c>
      <c r="C36" s="52">
        <f>'Le-AD+LD+Dom'!C36</f>
        <v>322</v>
      </c>
      <c r="D36" s="51">
        <f>'Le-AD+LD+Dom'!K36</f>
        <v>10</v>
      </c>
      <c r="E36" s="53">
        <f>'Le-AD+LD+Dom'!L36</f>
        <v>49</v>
      </c>
      <c r="F36" s="51">
        <f>'Le-AD+LD+Dom'!T36</f>
        <v>48</v>
      </c>
      <c r="G36" s="53">
        <f>'Le-AD+LD+Dom'!U36</f>
        <v>360</v>
      </c>
      <c r="H36" s="51">
        <f>'Le-AD+LD+Dom'!AC36</f>
        <v>92</v>
      </c>
      <c r="I36" s="54">
        <f>'Le-AD+LD+Dom'!AD36</f>
        <v>731</v>
      </c>
    </row>
    <row r="37" spans="1:9" x14ac:dyDescent="0.2">
      <c r="A37" s="17">
        <v>1998</v>
      </c>
      <c r="B37" s="51">
        <f>'Le-AD+LD+Dom'!B37</f>
        <v>45</v>
      </c>
      <c r="C37" s="52">
        <f>'Le-AD+LD+Dom'!C37</f>
        <v>367</v>
      </c>
      <c r="D37" s="51">
        <f>'Le-AD+LD+Dom'!K37</f>
        <v>2</v>
      </c>
      <c r="E37" s="53">
        <f>'Le-AD+LD+Dom'!L37</f>
        <v>51</v>
      </c>
      <c r="F37" s="51">
        <f>'Le-AD+LD+Dom'!T37</f>
        <v>58</v>
      </c>
      <c r="G37" s="53">
        <f>'Le-AD+LD+Dom'!U37</f>
        <v>418</v>
      </c>
      <c r="H37" s="51">
        <f>'Le-AD+LD+Dom'!AC37</f>
        <v>105</v>
      </c>
      <c r="I37" s="54">
        <f>'Le-AD+LD+Dom'!AD37</f>
        <v>836</v>
      </c>
    </row>
    <row r="38" spans="1:9" x14ac:dyDescent="0.2">
      <c r="A38" s="18">
        <v>1999</v>
      </c>
      <c r="B38" s="55">
        <f>'Le-AD+LD+Dom'!B38</f>
        <v>47</v>
      </c>
      <c r="C38" s="56">
        <f>'Le-AD+LD+Dom'!C38</f>
        <v>414</v>
      </c>
      <c r="D38" s="55"/>
      <c r="E38" s="57">
        <f>'Le-AD+LD+Dom'!L38</f>
        <v>51</v>
      </c>
      <c r="F38" s="55">
        <f>'Le-AD+LD+Dom'!T38</f>
        <v>46</v>
      </c>
      <c r="G38" s="57">
        <f>'Le-AD+LD+Dom'!U38</f>
        <v>464</v>
      </c>
      <c r="H38" s="55">
        <f>'Le-AD+LD+Dom'!AC38</f>
        <v>93</v>
      </c>
      <c r="I38" s="58">
        <f>'Le-AD+LD+Dom'!AD38</f>
        <v>929</v>
      </c>
    </row>
    <row r="39" spans="1:9" s="7" customFormat="1" ht="18.75" customHeight="1" x14ac:dyDescent="0.2">
      <c r="A39" s="17">
        <v>2000</v>
      </c>
      <c r="B39" s="51">
        <f>'Le-AD+LD+Dom'!B39</f>
        <v>58</v>
      </c>
      <c r="C39" s="52">
        <f>'Le-AD+LD+Dom'!C39</f>
        <v>472</v>
      </c>
      <c r="D39" s="51"/>
      <c r="E39" s="53">
        <f>'Le-AD+LD+Dom'!L39</f>
        <v>51</v>
      </c>
      <c r="F39" s="51">
        <f>'Le-AD+LD+Dom'!T39</f>
        <v>48</v>
      </c>
      <c r="G39" s="53">
        <f>'Le-AD+LD+Dom'!U39</f>
        <v>512</v>
      </c>
      <c r="H39" s="51">
        <f>'Le-AD+LD+Dom'!AC39</f>
        <v>106</v>
      </c>
      <c r="I39" s="54">
        <f>'Le-AD+LD+Dom'!AD39</f>
        <v>1035</v>
      </c>
    </row>
    <row r="40" spans="1:9" x14ac:dyDescent="0.2">
      <c r="A40" s="17">
        <v>2001</v>
      </c>
      <c r="B40" s="51">
        <f>'Le-AD+LD+Dom'!B40</f>
        <v>47</v>
      </c>
      <c r="C40" s="52">
        <f>'Le-AD+LD+Dom'!C40</f>
        <v>519</v>
      </c>
      <c r="D40" s="51">
        <f>'Le-AD+LD+Dom'!K40</f>
        <v>1</v>
      </c>
      <c r="E40" s="53">
        <f>'Le-AD+LD+Dom'!L40</f>
        <v>52</v>
      </c>
      <c r="F40" s="51">
        <f>'Le-AD+LD+Dom'!T40</f>
        <v>54</v>
      </c>
      <c r="G40" s="53">
        <f>'Le-AD+LD+Dom'!U40</f>
        <v>566</v>
      </c>
      <c r="H40" s="51">
        <f>'Le-AD+LD+Dom'!AC40</f>
        <v>102</v>
      </c>
      <c r="I40" s="54">
        <f>'Le-AD+LD+Dom'!AD40</f>
        <v>1137</v>
      </c>
    </row>
    <row r="41" spans="1:9" x14ac:dyDescent="0.2">
      <c r="A41" s="17">
        <v>2002</v>
      </c>
      <c r="B41" s="51">
        <f>'Le-AD+LD+Dom'!B41</f>
        <v>45</v>
      </c>
      <c r="C41" s="52">
        <f>'Le-AD+LD+Dom'!C41</f>
        <v>564</v>
      </c>
      <c r="D41" s="51">
        <f>'Le-AD+LD+Dom'!K41</f>
        <v>4</v>
      </c>
      <c r="E41" s="53">
        <f>'Le-AD+LD+Dom'!L41</f>
        <v>56</v>
      </c>
      <c r="F41" s="51">
        <f>'Le-AD+LD+Dom'!T41</f>
        <v>53</v>
      </c>
      <c r="G41" s="53">
        <f>'Le-AD+LD+Dom'!U41</f>
        <v>619</v>
      </c>
      <c r="H41" s="51">
        <f>'Le-AD+LD+Dom'!AC41</f>
        <v>102</v>
      </c>
      <c r="I41" s="54">
        <f>'Le-AD+LD+Dom'!AD41</f>
        <v>1239</v>
      </c>
    </row>
    <row r="42" spans="1:9" x14ac:dyDescent="0.2">
      <c r="A42" s="17">
        <v>2003</v>
      </c>
      <c r="B42" s="51">
        <f>'Le-AD+LD+Dom'!B42</f>
        <v>50</v>
      </c>
      <c r="C42" s="52">
        <f>'Le-AD+LD+Dom'!C42</f>
        <v>614</v>
      </c>
      <c r="D42" s="51">
        <f>'Le-AD+LD+Dom'!K42</f>
        <v>8</v>
      </c>
      <c r="E42" s="53">
        <f>'Le-AD+LD+Dom'!L42</f>
        <v>64</v>
      </c>
      <c r="F42" s="51">
        <f>'Le-AD+LD+Dom'!T42</f>
        <v>69</v>
      </c>
      <c r="G42" s="53">
        <f>'Le-AD+LD+Dom'!U42</f>
        <v>688</v>
      </c>
      <c r="H42" s="51">
        <f>'Le-AD+LD+Dom'!AC42</f>
        <v>127</v>
      </c>
      <c r="I42" s="54">
        <f>'Le-AD+LD+Dom'!AD42</f>
        <v>1366</v>
      </c>
    </row>
    <row r="43" spans="1:9" x14ac:dyDescent="0.2">
      <c r="A43" s="17">
        <v>2004</v>
      </c>
      <c r="B43" s="51">
        <f>'Le-AD+LD+Dom'!B43</f>
        <v>52</v>
      </c>
      <c r="C43" s="52">
        <f>'Le-AD+LD+Dom'!C43</f>
        <v>666</v>
      </c>
      <c r="D43" s="51">
        <f>'Le-AD+LD+Dom'!K43</f>
        <v>11</v>
      </c>
      <c r="E43" s="53">
        <f>'Le-AD+LD+Dom'!L43</f>
        <v>75</v>
      </c>
      <c r="F43" s="51">
        <f>'Le-AD+LD+Dom'!T43</f>
        <v>70</v>
      </c>
      <c r="G43" s="53">
        <f>'Le-AD+LD+Dom'!U43</f>
        <v>758</v>
      </c>
      <c r="H43" s="51">
        <f>'Le-AD+LD+Dom'!AC43</f>
        <v>133</v>
      </c>
      <c r="I43" s="54">
        <f>'Le-AD+LD+Dom'!AD43</f>
        <v>1499</v>
      </c>
    </row>
    <row r="44" spans="1:9" x14ac:dyDescent="0.2">
      <c r="A44" s="17">
        <v>2005</v>
      </c>
      <c r="B44" s="51">
        <f>'Le-AD+LD+Dom'!B44</f>
        <v>60</v>
      </c>
      <c r="C44" s="52">
        <f>'Le-AD+LD+Dom'!C44</f>
        <v>726</v>
      </c>
      <c r="D44" s="51">
        <f>'Le-AD+LD+Dom'!K44</f>
        <v>8</v>
      </c>
      <c r="E44" s="53">
        <f>'Le-AD+LD+Dom'!L44</f>
        <v>83</v>
      </c>
      <c r="F44" s="51">
        <f>'Le-AD+LD+Dom'!T44</f>
        <v>67</v>
      </c>
      <c r="G44" s="53">
        <f>'Le-AD+LD+Dom'!U44</f>
        <v>825</v>
      </c>
      <c r="H44" s="51">
        <f>'Le-AD+LD+Dom'!AC44</f>
        <v>135</v>
      </c>
      <c r="I44" s="54">
        <f>'Le-AD+LD+Dom'!AD44</f>
        <v>1634</v>
      </c>
    </row>
    <row r="45" spans="1:9" x14ac:dyDescent="0.2">
      <c r="A45" s="17">
        <v>2006</v>
      </c>
      <c r="B45" s="51">
        <f>'Le-AD+LD+Dom'!B45</f>
        <v>59</v>
      </c>
      <c r="C45" s="52">
        <f>'Le-AD+LD+Dom'!C45</f>
        <v>785</v>
      </c>
      <c r="D45" s="51">
        <f>'Le-AD+LD+Dom'!K45</f>
        <v>8</v>
      </c>
      <c r="E45" s="53">
        <f>'Le-AD+LD+Dom'!L45</f>
        <v>91</v>
      </c>
      <c r="F45" s="51">
        <f>'Le-AD+LD+Dom'!T45</f>
        <v>60</v>
      </c>
      <c r="G45" s="53">
        <f>'Le-AD+LD+Dom'!U45</f>
        <v>885</v>
      </c>
      <c r="H45" s="51">
        <f>'Le-AD+LD+Dom'!AC45</f>
        <v>127</v>
      </c>
      <c r="I45" s="54">
        <f>'Le-AD+LD+Dom'!AD45</f>
        <v>1761</v>
      </c>
    </row>
    <row r="46" spans="1:9" x14ac:dyDescent="0.2">
      <c r="A46" s="17">
        <v>2007</v>
      </c>
      <c r="B46" s="51">
        <f>'Le-AD+LD+Dom'!B46</f>
        <v>52</v>
      </c>
      <c r="C46" s="52">
        <f>'Le-AD+LD+Dom'!C46</f>
        <v>837</v>
      </c>
      <c r="D46" s="51">
        <f>'Le-AD+LD+Dom'!K46</f>
        <v>9</v>
      </c>
      <c r="E46" s="53">
        <f>'Le-AD+LD+Dom'!L46</f>
        <v>100</v>
      </c>
      <c r="F46" s="51">
        <f>'Le-AD+LD+Dom'!T46</f>
        <v>75</v>
      </c>
      <c r="G46" s="53">
        <f>'Le-AD+LD+Dom'!U46</f>
        <v>960</v>
      </c>
      <c r="H46" s="51">
        <f>'Le-AD+LD+Dom'!AC46</f>
        <v>136</v>
      </c>
      <c r="I46" s="54">
        <f>'Le-AD+LD+Dom'!AD46</f>
        <v>1897</v>
      </c>
    </row>
    <row r="47" spans="1:9" x14ac:dyDescent="0.2">
      <c r="A47" s="17">
        <v>2008</v>
      </c>
      <c r="B47" s="51">
        <f>'Le-AD+LD+Dom'!B47</f>
        <v>58</v>
      </c>
      <c r="C47" s="52">
        <f>'Le-AD+LD+Dom'!C47</f>
        <v>895</v>
      </c>
      <c r="D47" s="51">
        <f>'Le-AD+LD+Dom'!K47</f>
        <v>13</v>
      </c>
      <c r="E47" s="53">
        <f>'Le-AD+LD+Dom'!L47</f>
        <v>113</v>
      </c>
      <c r="F47" s="51">
        <f>'Le-AD+LD+Dom'!T47</f>
        <v>76</v>
      </c>
      <c r="G47" s="53">
        <f>'Le-AD+LD+Dom'!U47</f>
        <v>1036</v>
      </c>
      <c r="H47" s="51">
        <f>'Le-AD+LD+Dom'!AC47</f>
        <v>147</v>
      </c>
      <c r="I47" s="54">
        <f>'Le-AD+LD+Dom'!AD47</f>
        <v>2044</v>
      </c>
    </row>
    <row r="48" spans="1:9" x14ac:dyDescent="0.2">
      <c r="A48" s="17">
        <v>2009</v>
      </c>
      <c r="B48" s="51">
        <f>'Le-AD+LD+Dom'!B48</f>
        <v>46</v>
      </c>
      <c r="C48" s="52">
        <f>'Le-AD+LD+Dom'!C48</f>
        <v>941</v>
      </c>
      <c r="D48" s="51">
        <f>'Le-AD+LD+Dom'!K48</f>
        <v>11</v>
      </c>
      <c r="E48" s="53">
        <f>'Le-AD+LD+Dom'!L48</f>
        <v>124</v>
      </c>
      <c r="F48" s="51">
        <f>'Le-AD+LD+Dom'!T48</f>
        <v>89</v>
      </c>
      <c r="G48" s="53">
        <f>'Le-AD+LD+Dom'!U48</f>
        <v>1125</v>
      </c>
      <c r="H48" s="51">
        <f>'Le-AD+LD+Dom'!AC48</f>
        <v>146</v>
      </c>
      <c r="I48" s="54">
        <f>'Le-AD+LD+Dom'!AD48</f>
        <v>2190</v>
      </c>
    </row>
    <row r="49" spans="1:9" x14ac:dyDescent="0.2">
      <c r="A49" s="17">
        <v>2010</v>
      </c>
      <c r="B49" s="51">
        <f>'Le-AD+LD+Dom'!B49</f>
        <v>54</v>
      </c>
      <c r="C49" s="52">
        <f>'Le-AD+LD+Dom'!C49</f>
        <v>995</v>
      </c>
      <c r="D49" s="51">
        <f>'Le-AD+LD+Dom'!K49</f>
        <v>3</v>
      </c>
      <c r="E49" s="53">
        <f>'Le-AD+LD+Dom'!L49</f>
        <v>127</v>
      </c>
      <c r="F49" s="51">
        <f>'Le-AD+LD+Dom'!T49</f>
        <v>80</v>
      </c>
      <c r="G49" s="53">
        <f>'Le-AD+LD+Dom'!U49</f>
        <v>1205</v>
      </c>
      <c r="H49" s="51">
        <f>'Le-AD+LD+Dom'!AC49</f>
        <v>137</v>
      </c>
      <c r="I49" s="54">
        <f>'Le-AD+LD+Dom'!AD49</f>
        <v>2327</v>
      </c>
    </row>
    <row r="50" spans="1:9" s="156" customFormat="1" x14ac:dyDescent="0.2">
      <c r="A50" s="157">
        <v>2011</v>
      </c>
      <c r="B50" s="161">
        <f>'Le-AD+LD+Dom'!B50</f>
        <v>73</v>
      </c>
      <c r="C50" s="127">
        <f>'Le-AD+LD+Dom'!C50</f>
        <v>1068</v>
      </c>
      <c r="D50" s="161">
        <f>'Le-AD+LD+Dom'!K50</f>
        <v>0</v>
      </c>
      <c r="E50" s="53">
        <v>127</v>
      </c>
      <c r="F50" s="161">
        <f>'Le-AD+LD+Dom'!T50</f>
        <v>83</v>
      </c>
      <c r="G50" s="126">
        <f>'Le-AD+LD+Dom'!U50</f>
        <v>1288</v>
      </c>
      <c r="H50" s="161">
        <f>'Le-AD+LD+Dom'!AC50</f>
        <v>156</v>
      </c>
      <c r="I50" s="133">
        <f>'Le-AD+LD+Dom'!AD50</f>
        <v>2483</v>
      </c>
    </row>
    <row r="51" spans="1:9" s="156" customFormat="1" x14ac:dyDescent="0.2">
      <c r="A51" s="157">
        <v>2012</v>
      </c>
      <c r="B51" s="161">
        <f>'Le-AD+LD+Dom'!B51</f>
        <v>74</v>
      </c>
      <c r="C51" s="127">
        <f>'Le-AD+LD+Dom'!C51</f>
        <v>1142</v>
      </c>
      <c r="D51" s="161">
        <f>'Le-AD+LD+Dom'!K51</f>
        <v>0</v>
      </c>
      <c r="E51" s="134">
        <v>127</v>
      </c>
      <c r="F51" s="161">
        <f>'Le-AD+LD+Dom'!T51</f>
        <v>79</v>
      </c>
      <c r="G51" s="126">
        <f>'Le-AD+LD+Dom'!U51</f>
        <v>1367</v>
      </c>
      <c r="H51" s="161">
        <f>'Le-AD+LD+Dom'!AC51</f>
        <v>153</v>
      </c>
      <c r="I51" s="133">
        <f>'Le-AD+LD+Dom'!AD51</f>
        <v>2636</v>
      </c>
    </row>
    <row r="52" spans="1:9" s="156" customFormat="1" x14ac:dyDescent="0.2">
      <c r="A52" s="157">
        <v>2013</v>
      </c>
      <c r="B52" s="161">
        <f>'Le-AD+LD+Dom'!B52</f>
        <v>80</v>
      </c>
      <c r="C52" s="127">
        <f>'Le-AD+LD+Dom'!C52</f>
        <v>1222</v>
      </c>
      <c r="D52" s="161">
        <f>'Le-AD+LD+Dom'!K52</f>
        <v>0</v>
      </c>
      <c r="E52" s="134">
        <v>127</v>
      </c>
      <c r="F52" s="161">
        <f>'Le-AD+LD+Dom'!T52</f>
        <v>81</v>
      </c>
      <c r="G52" s="126">
        <f>'Le-AD+LD+Dom'!U52</f>
        <v>1448</v>
      </c>
      <c r="H52" s="161">
        <f>'Le-AD+LD+Dom'!AC52</f>
        <v>161</v>
      </c>
      <c r="I52" s="133">
        <f>'Le-AD+LD+Dom'!AD52</f>
        <v>2797</v>
      </c>
    </row>
    <row r="53" spans="1:9" s="156" customFormat="1" x14ac:dyDescent="0.2">
      <c r="A53" s="157">
        <v>2014</v>
      </c>
      <c r="B53" s="161">
        <f>'Le-AD+LD+Dom'!B53</f>
        <v>85</v>
      </c>
      <c r="C53" s="127">
        <f>'Le-AD+LD+Dom'!C53</f>
        <v>1307</v>
      </c>
      <c r="D53" s="161">
        <f>'Le-AD+LD+Dom'!K53</f>
        <v>0</v>
      </c>
      <c r="E53" s="134">
        <v>127</v>
      </c>
      <c r="F53" s="161">
        <f>'Le-AD+LD+Dom'!T53</f>
        <v>97</v>
      </c>
      <c r="G53" s="126">
        <f>'Le-AD+LD+Dom'!U53</f>
        <v>1545</v>
      </c>
      <c r="H53" s="161">
        <f>'Le-AD+LD+Dom'!AC53</f>
        <v>182</v>
      </c>
      <c r="I53" s="133">
        <f>'Le-AD+LD+Dom'!AD53</f>
        <v>2979</v>
      </c>
    </row>
    <row r="54" spans="1:9" s="156" customFormat="1" x14ac:dyDescent="0.2">
      <c r="A54" s="157">
        <v>2015</v>
      </c>
      <c r="B54" s="161">
        <f>'Le-AD+LD+Dom'!B54</f>
        <v>86</v>
      </c>
      <c r="C54" s="127">
        <f>'Le-AD+LD+Dom'!C54</f>
        <v>1393</v>
      </c>
      <c r="D54" s="161">
        <f>'Le-AD+LD+Dom'!K54</f>
        <v>0</v>
      </c>
      <c r="E54" s="134">
        <v>127</v>
      </c>
      <c r="F54" s="161">
        <f>'Le-AD+LD+Dom'!T54</f>
        <v>94</v>
      </c>
      <c r="G54" s="126">
        <f>'Le-AD+LD+Dom'!U54</f>
        <v>1639</v>
      </c>
      <c r="H54" s="161">
        <f>'Le-AD+LD+Dom'!AC54</f>
        <v>180</v>
      </c>
      <c r="I54" s="133">
        <f>'Le-AD+LD+Dom'!AD54</f>
        <v>3159</v>
      </c>
    </row>
    <row r="55" spans="1:9" s="156" customFormat="1" x14ac:dyDescent="0.2">
      <c r="A55" s="17">
        <v>2016</v>
      </c>
      <c r="B55" s="161">
        <f>'Le-AD+LD+Dom'!B55</f>
        <v>93</v>
      </c>
      <c r="C55" s="127">
        <f>'Le-AD+LD+Dom'!C55</f>
        <v>1486</v>
      </c>
      <c r="D55" s="161">
        <f>'Le-AD+LD+Dom'!K55</f>
        <v>0</v>
      </c>
      <c r="E55" s="134">
        <v>127</v>
      </c>
      <c r="F55" s="161">
        <f>'Le-AD+LD+Dom'!T55</f>
        <v>106</v>
      </c>
      <c r="G55" s="126">
        <f>'Le-AD+LD+Dom'!U55</f>
        <v>1745</v>
      </c>
      <c r="H55" s="161">
        <f>'Le-AD+LD+Dom'!AC55</f>
        <v>199</v>
      </c>
      <c r="I55" s="133">
        <f>'Le-AD+LD+Dom'!AD55</f>
        <v>3358</v>
      </c>
    </row>
    <row r="56" spans="1:9" s="156" customFormat="1" x14ac:dyDescent="0.2">
      <c r="A56" s="17">
        <v>2017</v>
      </c>
      <c r="B56" s="161">
        <f>'Le-AD+LD+Dom'!B56</f>
        <v>87</v>
      </c>
      <c r="C56" s="127">
        <f>'Le-AD+LD+Dom'!C56</f>
        <v>1573</v>
      </c>
      <c r="D56" s="161">
        <f>'Le-AD+LD+Dom'!K56</f>
        <v>0</v>
      </c>
      <c r="E56" s="134">
        <v>127</v>
      </c>
      <c r="F56" s="163">
        <f>'Le-AD+LD+Dom'!T56</f>
        <v>94</v>
      </c>
      <c r="G56" s="126">
        <f>'Le-AD+LD+Dom'!U56</f>
        <v>1839</v>
      </c>
      <c r="H56" s="161">
        <f>'Le-AD+LD+Dom'!AC56</f>
        <v>181</v>
      </c>
      <c r="I56" s="133">
        <f>'Le-AD+LD+Dom'!AD56</f>
        <v>3539</v>
      </c>
    </row>
    <row r="57" spans="1:9" s="156" customFormat="1" x14ac:dyDescent="0.2">
      <c r="A57" s="17">
        <v>2018</v>
      </c>
      <c r="B57" s="161">
        <f>'Le-AD+LD+Dom'!B57</f>
        <v>77</v>
      </c>
      <c r="C57" s="127">
        <f>'Le-AD+LD+Dom'!C57</f>
        <v>1650</v>
      </c>
      <c r="D57" s="161">
        <f>'Le-AD+LD+Dom'!K57</f>
        <v>0</v>
      </c>
      <c r="E57" s="134">
        <v>127</v>
      </c>
      <c r="F57" s="163">
        <f>'Le-AD+LD+Dom'!T57</f>
        <v>86</v>
      </c>
      <c r="G57" s="126">
        <f>'Le-AD+LD+Dom'!U57</f>
        <v>1925</v>
      </c>
      <c r="H57" s="161">
        <f>'Le-AD+LD+Dom'!AC57</f>
        <v>163</v>
      </c>
      <c r="I57" s="133">
        <f>'Le-AD+LD+Dom'!AD57</f>
        <v>3702</v>
      </c>
    </row>
    <row r="58" spans="1:9" s="156" customFormat="1" x14ac:dyDescent="0.2">
      <c r="A58" s="17">
        <v>2019</v>
      </c>
      <c r="B58" s="161">
        <f>'Le-AD+LD+Dom'!B58</f>
        <v>88</v>
      </c>
      <c r="C58" s="127">
        <f>'Le-AD+LD+Dom'!C58</f>
        <v>1738</v>
      </c>
      <c r="D58" s="161">
        <f>'Le-AD+LD+Dom'!K58</f>
        <v>0</v>
      </c>
      <c r="E58" s="134">
        <v>127</v>
      </c>
      <c r="F58" s="163">
        <f>'Le-AD+LD+Dom'!T58</f>
        <v>95</v>
      </c>
      <c r="G58" s="126">
        <f>'Le-AD+LD+Dom'!U58</f>
        <v>2020</v>
      </c>
      <c r="H58" s="161">
        <f>'Le-AD+LD+Dom'!AC58</f>
        <v>183</v>
      </c>
      <c r="I58" s="133">
        <f>'Le-AD+LD+Dom'!AD58</f>
        <v>3885</v>
      </c>
    </row>
    <row r="59" spans="1:9" s="156" customFormat="1" x14ac:dyDescent="0.2">
      <c r="A59" s="17">
        <v>2020</v>
      </c>
      <c r="B59" s="161">
        <f>'Le-AD+LD+Dom'!B59</f>
        <v>92</v>
      </c>
      <c r="C59" s="127">
        <f>'Le-AD+LD+Dom'!C59</f>
        <v>1830</v>
      </c>
      <c r="D59" s="161">
        <f>'Le-AD+LD+Dom'!K59</f>
        <v>0</v>
      </c>
      <c r="E59" s="134">
        <v>127</v>
      </c>
      <c r="F59" s="163">
        <f>'Le-AD+LD+Dom'!T59</f>
        <v>80</v>
      </c>
      <c r="G59" s="126">
        <f>'Le-AD+LD+Dom'!U59</f>
        <v>2100</v>
      </c>
      <c r="H59" s="161">
        <f>'Le-AD+LD+Dom'!AC59</f>
        <v>172</v>
      </c>
      <c r="I59" s="133">
        <f>'Le-AD+LD+Dom'!AD59</f>
        <v>4057</v>
      </c>
    </row>
    <row r="60" spans="1:9" s="156" customFormat="1" x14ac:dyDescent="0.2">
      <c r="A60" s="17">
        <v>2021</v>
      </c>
      <c r="B60" s="161">
        <f>'Le-AD+LD+Dom'!B60</f>
        <v>70</v>
      </c>
      <c r="C60" s="127">
        <f>'Le-AD+LD+Dom'!C60</f>
        <v>1900</v>
      </c>
      <c r="D60" s="161">
        <f>'Le-AD+LD+Dom'!K60</f>
        <v>0</v>
      </c>
      <c r="E60" s="134">
        <v>127</v>
      </c>
      <c r="F60" s="163">
        <f>'Le-AD+LD+Dom'!T60</f>
        <v>100</v>
      </c>
      <c r="G60" s="126">
        <f>'Le-AD+LD+Dom'!U60</f>
        <v>2200</v>
      </c>
      <c r="H60" s="161">
        <f>'Le-AD+LD+Dom'!AC60</f>
        <v>170</v>
      </c>
      <c r="I60" s="133">
        <f>'Le-AD+LD+Dom'!AD60</f>
        <v>4227</v>
      </c>
    </row>
    <row r="61" spans="1:9" s="156" customFormat="1" x14ac:dyDescent="0.2">
      <c r="A61" s="17">
        <v>2022</v>
      </c>
      <c r="B61" s="175">
        <f>'Le-AD+LD+Dom'!B61</f>
        <v>76</v>
      </c>
      <c r="C61" s="151">
        <f>'Le-AD+LD+Dom'!C61</f>
        <v>1976</v>
      </c>
      <c r="D61" s="175">
        <f>'Le-AD+LD+Dom'!K61</f>
        <v>0</v>
      </c>
      <c r="E61" s="231">
        <v>127</v>
      </c>
      <c r="F61" s="182">
        <f>'Le-AD+LD+Dom'!T61</f>
        <v>90</v>
      </c>
      <c r="G61" s="177">
        <f>'Le-AD+LD+Dom'!U61</f>
        <v>2290</v>
      </c>
      <c r="H61" s="175">
        <f>'Le-AD+LD+Dom'!AC61</f>
        <v>166</v>
      </c>
      <c r="I61" s="178">
        <f>'Le-AD+LD+Dom'!AD61</f>
        <v>4393</v>
      </c>
    </row>
    <row r="62" spans="1:9" s="156" customFormat="1" x14ac:dyDescent="0.2">
      <c r="A62" s="17">
        <v>2023</v>
      </c>
      <c r="B62" s="175">
        <f>'Le-AD+LD+Dom'!B62</f>
        <v>97</v>
      </c>
      <c r="C62" s="151">
        <f>'Le-AD+LD+Dom'!C62</f>
        <v>2073</v>
      </c>
      <c r="D62" s="175">
        <f>'Le-AD+LD+Dom'!K62</f>
        <v>0</v>
      </c>
      <c r="E62" s="231">
        <v>127</v>
      </c>
      <c r="F62" s="182">
        <f>'Le-AD+LD+Dom'!T62</f>
        <v>101</v>
      </c>
      <c r="G62" s="177">
        <f>'Le-AD+LD+Dom'!U62</f>
        <v>2391</v>
      </c>
      <c r="H62" s="175">
        <f>'Le-AD+LD+Dom'!AC62</f>
        <v>198</v>
      </c>
      <c r="I62" s="178">
        <f>'Le-AD+LD+Dom'!AD62</f>
        <v>4591</v>
      </c>
    </row>
    <row r="63" spans="1:9" x14ac:dyDescent="0.2">
      <c r="A63" s="221">
        <v>2024</v>
      </c>
      <c r="B63" s="175">
        <f>'Le-AD+LD+Dom'!B63</f>
        <v>83</v>
      </c>
      <c r="C63" s="151">
        <f>'Le-AD+LD+Dom'!C63</f>
        <v>2156</v>
      </c>
      <c r="D63" s="175">
        <f>'Le-AD+LD+Dom'!K63</f>
        <v>0</v>
      </c>
      <c r="E63" s="231">
        <v>127</v>
      </c>
      <c r="F63" s="182">
        <f>'Le-AD+LD+Dom'!T63</f>
        <v>94</v>
      </c>
      <c r="G63" s="177">
        <f>'Le-AD+LD+Dom'!U63</f>
        <v>2485</v>
      </c>
      <c r="H63" s="175">
        <f>'Le-AD+LD+Dom'!AC63</f>
        <v>177</v>
      </c>
      <c r="I63" s="178">
        <f>'Le-AD+LD+Dom'!AD63</f>
        <v>4768</v>
      </c>
    </row>
    <row r="64" spans="1:9" x14ac:dyDescent="0.2">
      <c r="A64" s="17">
        <v>2025</v>
      </c>
      <c r="B64" s="51"/>
      <c r="C64" s="54"/>
      <c r="D64" s="51"/>
      <c r="E64" s="62"/>
      <c r="F64" s="63"/>
      <c r="G64" s="62"/>
      <c r="H64" s="63"/>
      <c r="I64" s="62"/>
    </row>
    <row r="65" spans="1:9" x14ac:dyDescent="0.2">
      <c r="A65" s="17">
        <v>2026</v>
      </c>
      <c r="B65" s="51"/>
      <c r="C65" s="54"/>
      <c r="D65" s="51"/>
      <c r="E65" s="62"/>
      <c r="F65" s="63"/>
      <c r="G65" s="62"/>
      <c r="H65" s="63"/>
      <c r="I65" s="62"/>
    </row>
    <row r="66" spans="1:9" x14ac:dyDescent="0.2">
      <c r="A66" s="17">
        <v>2027</v>
      </c>
      <c r="B66" s="51"/>
      <c r="C66" s="54"/>
      <c r="D66" s="51"/>
      <c r="E66" s="62"/>
      <c r="F66" s="63"/>
      <c r="G66" s="62"/>
      <c r="H66" s="63"/>
      <c r="I66" s="62"/>
    </row>
    <row r="67" spans="1:9" x14ac:dyDescent="0.2">
      <c r="A67" s="17">
        <v>2028</v>
      </c>
      <c r="B67" s="51"/>
      <c r="C67" s="54"/>
      <c r="D67" s="51"/>
      <c r="E67" s="62"/>
      <c r="F67" s="63"/>
      <c r="G67" s="62"/>
      <c r="H67" s="63"/>
      <c r="I67" s="62"/>
    </row>
    <row r="68" spans="1:9" x14ac:dyDescent="0.2">
      <c r="A68" s="17">
        <v>2029</v>
      </c>
      <c r="B68" s="51"/>
      <c r="C68" s="54"/>
      <c r="D68" s="51"/>
      <c r="E68" s="62"/>
      <c r="F68" s="63"/>
      <c r="G68" s="62"/>
      <c r="H68" s="63"/>
      <c r="I68" s="62"/>
    </row>
    <row r="69" spans="1:9" x14ac:dyDescent="0.2">
      <c r="A69" s="17">
        <v>2030</v>
      </c>
      <c r="B69" s="51"/>
      <c r="C69" s="54"/>
      <c r="D69" s="51"/>
      <c r="E69" s="62"/>
      <c r="F69" s="63"/>
      <c r="G69" s="62"/>
      <c r="H69" s="63"/>
      <c r="I69" s="62"/>
    </row>
    <row r="70" spans="1:9" x14ac:dyDescent="0.2">
      <c r="A70" s="17"/>
      <c r="B70" s="51"/>
      <c r="C70" s="54"/>
      <c r="D70" s="51"/>
      <c r="E70" s="62"/>
      <c r="F70" s="63"/>
      <c r="G70" s="62"/>
      <c r="H70" s="63"/>
      <c r="I70" s="62"/>
    </row>
    <row r="71" spans="1:9" x14ac:dyDescent="0.2">
      <c r="A71" s="17"/>
      <c r="B71" s="51"/>
      <c r="C71" s="54"/>
      <c r="D71" s="51"/>
      <c r="E71" s="62"/>
      <c r="F71" s="63"/>
      <c r="G71" s="62"/>
      <c r="H71" s="63"/>
      <c r="I71" s="62"/>
    </row>
    <row r="72" spans="1:9" x14ac:dyDescent="0.2">
      <c r="A72" s="18"/>
      <c r="B72" s="81"/>
      <c r="C72" s="58"/>
      <c r="D72" s="81"/>
      <c r="E72" s="75"/>
      <c r="F72" s="74"/>
      <c r="G72" s="75"/>
      <c r="H72" s="74"/>
      <c r="I72" s="75"/>
    </row>
    <row r="73" spans="1:9" x14ac:dyDescent="0.2">
      <c r="B73" s="12"/>
      <c r="C73" s="12"/>
    </row>
    <row r="74" spans="1:9" x14ac:dyDescent="0.2">
      <c r="B74" s="12"/>
      <c r="C74" s="12"/>
    </row>
    <row r="75" spans="1:9" x14ac:dyDescent="0.2">
      <c r="B75" s="12"/>
      <c r="C75" s="12"/>
    </row>
    <row r="76" spans="1:9" x14ac:dyDescent="0.2">
      <c r="B76" s="12"/>
      <c r="C76" s="12"/>
    </row>
    <row r="77" spans="1:9" x14ac:dyDescent="0.2">
      <c r="B77" s="12"/>
      <c r="C77" s="12"/>
    </row>
  </sheetData>
  <mergeCells count="4">
    <mergeCell ref="B1:C1"/>
    <mergeCell ref="H1:I1"/>
    <mergeCell ref="D1:E1"/>
    <mergeCell ref="F1:G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BW339"/>
  <sheetViews>
    <sheetView showGridLines="0" showZeros="0" zoomScale="95" zoomScaleNormal="95" workbookViewId="0">
      <pane xSplit="1" ySplit="2" topLeftCell="B47" activePane="bottomRight" state="frozen"/>
      <selection activeCell="K87" sqref="K87"/>
      <selection pane="topRight" activeCell="K87" sqref="K87"/>
      <selection pane="bottomLeft" activeCell="K87" sqref="K87"/>
      <selection pane="bottomRight" activeCell="J82" sqref="J82"/>
    </sheetView>
  </sheetViews>
  <sheetFormatPr defaultColWidth="8.85546875" defaultRowHeight="12.75" x14ac:dyDescent="0.2"/>
  <cols>
    <col min="1" max="1" width="6.42578125" style="1" customWidth="1"/>
    <col min="2" max="3" width="6.42578125" customWidth="1"/>
    <col min="4" max="5" width="6.42578125" style="67" customWidth="1"/>
    <col min="6" max="6" width="6.42578125" customWidth="1"/>
    <col min="7" max="7" width="8" customWidth="1"/>
    <col min="8" max="9" width="6.42578125" customWidth="1"/>
    <col min="10" max="10" width="8" customWidth="1"/>
    <col min="11" max="15" width="6.42578125" customWidth="1"/>
    <col min="16" max="16" width="8" customWidth="1"/>
    <col min="17" max="18" width="6.42578125" customWidth="1"/>
    <col min="19" max="19" width="8" customWidth="1"/>
    <col min="20" max="24" width="6.42578125" style="42" customWidth="1"/>
    <col min="25" max="25" width="8" customWidth="1"/>
    <col min="26" max="27" width="6.42578125" style="42" customWidth="1"/>
    <col min="28" max="28" width="8" customWidth="1"/>
    <col min="29" max="29" width="6.42578125" style="42" customWidth="1"/>
    <col min="30" max="30" width="7.42578125" style="46" bestFit="1" customWidth="1"/>
    <col min="31" max="33" width="6.42578125" style="42" customWidth="1"/>
    <col min="34" max="34" width="8" customWidth="1"/>
    <col min="35" max="36" width="6.42578125" style="42" customWidth="1"/>
    <col min="37" max="37" width="8" customWidth="1"/>
  </cols>
  <sheetData>
    <row r="1" spans="1:75" s="6" customFormat="1" ht="20.25" customHeight="1" x14ac:dyDescent="0.2">
      <c r="A1" s="16"/>
      <c r="B1" s="440" t="s">
        <v>4</v>
      </c>
      <c r="C1" s="435"/>
      <c r="D1" s="435"/>
      <c r="E1" s="435"/>
      <c r="F1" s="435"/>
      <c r="G1" s="435"/>
      <c r="H1" s="435"/>
      <c r="I1" s="435"/>
      <c r="J1" s="437"/>
      <c r="K1" s="434" t="s">
        <v>5</v>
      </c>
      <c r="L1" s="435"/>
      <c r="M1" s="435"/>
      <c r="N1" s="435"/>
      <c r="O1" s="435"/>
      <c r="P1" s="435"/>
      <c r="Q1" s="435"/>
      <c r="R1" s="435"/>
      <c r="S1" s="437"/>
      <c r="T1" s="434" t="s">
        <v>6</v>
      </c>
      <c r="U1" s="435"/>
      <c r="V1" s="435"/>
      <c r="W1" s="435"/>
      <c r="X1" s="435"/>
      <c r="Y1" s="435"/>
      <c r="Z1" s="435"/>
      <c r="AA1" s="435"/>
      <c r="AB1" s="437"/>
      <c r="AC1" s="434" t="s">
        <v>8</v>
      </c>
      <c r="AD1" s="435"/>
      <c r="AE1" s="435"/>
      <c r="AF1" s="435"/>
      <c r="AG1" s="435"/>
      <c r="AH1" s="435"/>
      <c r="AI1" s="435"/>
      <c r="AJ1" s="435"/>
      <c r="AK1" s="436"/>
    </row>
    <row r="2" spans="1:75" s="2" customFormat="1" ht="29.25" customHeight="1" thickBot="1" x14ac:dyDescent="0.25">
      <c r="A2" s="5" t="s">
        <v>9</v>
      </c>
      <c r="B2" s="3" t="s">
        <v>0</v>
      </c>
      <c r="C2" s="4" t="s">
        <v>1</v>
      </c>
      <c r="D2" s="5" t="s">
        <v>44</v>
      </c>
      <c r="E2" s="5" t="s">
        <v>45</v>
      </c>
      <c r="F2" s="5" t="s">
        <v>2</v>
      </c>
      <c r="G2" s="5" t="s">
        <v>10</v>
      </c>
      <c r="H2" s="5" t="s">
        <v>36</v>
      </c>
      <c r="I2" s="4" t="s">
        <v>3</v>
      </c>
      <c r="J2" s="36" t="s">
        <v>11</v>
      </c>
      <c r="K2" s="3" t="s">
        <v>0</v>
      </c>
      <c r="L2" s="4" t="s">
        <v>1</v>
      </c>
      <c r="M2" s="5" t="s">
        <v>44</v>
      </c>
      <c r="N2" s="5" t="s">
        <v>45</v>
      </c>
      <c r="O2" s="5" t="s">
        <v>2</v>
      </c>
      <c r="P2" s="5" t="s">
        <v>10</v>
      </c>
      <c r="Q2" s="5" t="s">
        <v>36</v>
      </c>
      <c r="R2" s="4" t="s">
        <v>3</v>
      </c>
      <c r="S2" s="36" t="s">
        <v>11</v>
      </c>
      <c r="T2" s="39" t="s">
        <v>0</v>
      </c>
      <c r="U2" s="40" t="s">
        <v>1</v>
      </c>
      <c r="V2" s="5" t="s">
        <v>44</v>
      </c>
      <c r="W2" s="5" t="s">
        <v>45</v>
      </c>
      <c r="X2" s="41" t="s">
        <v>2</v>
      </c>
      <c r="Y2" s="5" t="s">
        <v>10</v>
      </c>
      <c r="Z2" s="41" t="s">
        <v>36</v>
      </c>
      <c r="AA2" s="41" t="s">
        <v>3</v>
      </c>
      <c r="AB2" s="38" t="s">
        <v>11</v>
      </c>
      <c r="AC2" s="39" t="s">
        <v>0</v>
      </c>
      <c r="AD2" s="4" t="s">
        <v>1</v>
      </c>
      <c r="AE2" s="5" t="s">
        <v>44</v>
      </c>
      <c r="AF2" s="5" t="s">
        <v>45</v>
      </c>
      <c r="AG2" s="41" t="s">
        <v>2</v>
      </c>
      <c r="AH2" s="5" t="s">
        <v>10</v>
      </c>
      <c r="AI2" s="41" t="s">
        <v>36</v>
      </c>
      <c r="AJ2" s="40" t="s">
        <v>3</v>
      </c>
      <c r="AK2" s="4" t="s">
        <v>11</v>
      </c>
    </row>
    <row r="3" spans="1:75" ht="17.25" customHeight="1" thickTop="1" x14ac:dyDescent="0.2">
      <c r="A3" s="17">
        <v>1964</v>
      </c>
      <c r="B3" s="8"/>
      <c r="C3" s="9"/>
      <c r="D3" s="59"/>
      <c r="E3" s="59"/>
      <c r="F3" s="9"/>
      <c r="G3" s="9"/>
      <c r="H3" s="9"/>
      <c r="I3" s="9"/>
      <c r="J3" s="37"/>
      <c r="K3" s="8"/>
      <c r="L3" s="9"/>
      <c r="M3" s="9"/>
      <c r="N3" s="9"/>
      <c r="O3" s="9"/>
      <c r="P3" s="9"/>
      <c r="Q3" s="9"/>
      <c r="R3" s="9"/>
      <c r="S3" s="37"/>
      <c r="T3" s="8"/>
      <c r="U3" s="9"/>
      <c r="V3" s="9"/>
      <c r="W3" s="9"/>
      <c r="X3" s="9"/>
      <c r="Y3" s="9"/>
      <c r="Z3" s="9"/>
      <c r="AA3" s="19"/>
      <c r="AB3" s="33"/>
      <c r="AC3" s="8"/>
      <c r="AD3" s="9"/>
      <c r="AE3" s="9"/>
      <c r="AF3" s="9"/>
      <c r="AG3" s="9"/>
      <c r="AH3" s="9"/>
      <c r="AI3" s="9"/>
      <c r="AJ3" s="9"/>
      <c r="AK3" s="9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</row>
    <row r="4" spans="1:75" x14ac:dyDescent="0.2">
      <c r="A4" s="17">
        <v>1965</v>
      </c>
      <c r="B4" s="8"/>
      <c r="C4" s="10"/>
      <c r="D4" s="54"/>
      <c r="E4" s="54"/>
      <c r="F4" s="11"/>
      <c r="G4" s="11"/>
      <c r="H4" s="11"/>
      <c r="I4" s="11"/>
      <c r="J4" s="37"/>
      <c r="K4" s="8"/>
      <c r="L4" s="10"/>
      <c r="M4" s="11"/>
      <c r="N4" s="11"/>
      <c r="O4" s="11"/>
      <c r="P4" s="11"/>
      <c r="Q4" s="11"/>
      <c r="R4" s="11"/>
      <c r="S4" s="37"/>
      <c r="T4" s="8"/>
      <c r="U4" s="10"/>
      <c r="V4" s="11"/>
      <c r="W4" s="11"/>
      <c r="X4" s="11"/>
      <c r="Y4" s="11"/>
      <c r="Z4" s="11"/>
      <c r="AA4" s="10"/>
      <c r="AB4" s="33"/>
      <c r="AC4" s="8"/>
      <c r="AD4" s="10"/>
      <c r="AE4" s="11"/>
      <c r="AF4" s="11"/>
      <c r="AG4" s="11"/>
      <c r="AH4" s="11"/>
      <c r="AI4" s="11"/>
      <c r="AJ4" s="11"/>
      <c r="AK4" s="11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</row>
    <row r="5" spans="1:75" x14ac:dyDescent="0.2">
      <c r="A5" s="17">
        <v>1966</v>
      </c>
      <c r="B5" s="51"/>
      <c r="C5" s="53"/>
      <c r="D5" s="54"/>
      <c r="E5" s="54"/>
      <c r="F5" s="54"/>
      <c r="G5" s="54"/>
      <c r="H5" s="54"/>
      <c r="I5" s="54"/>
      <c r="J5" s="82"/>
      <c r="K5" s="51"/>
      <c r="L5" s="53"/>
      <c r="M5" s="54"/>
      <c r="N5" s="54"/>
      <c r="O5" s="54"/>
      <c r="P5" s="54"/>
      <c r="Q5" s="54"/>
      <c r="R5" s="54"/>
      <c r="S5" s="82"/>
      <c r="T5" s="51"/>
      <c r="U5" s="53"/>
      <c r="V5" s="54"/>
      <c r="W5" s="54"/>
      <c r="X5" s="54"/>
      <c r="Y5" s="54"/>
      <c r="Z5" s="54"/>
      <c r="AA5" s="53"/>
      <c r="AB5" s="52"/>
      <c r="AC5" s="51"/>
      <c r="AD5" s="53"/>
      <c r="AE5" s="54"/>
      <c r="AF5" s="54"/>
      <c r="AG5" s="54"/>
      <c r="AH5" s="54"/>
      <c r="AI5" s="54"/>
      <c r="AJ5" s="54"/>
      <c r="AK5" s="54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</row>
    <row r="6" spans="1:75" x14ac:dyDescent="0.2">
      <c r="A6" s="17">
        <v>1967</v>
      </c>
      <c r="B6" s="51"/>
      <c r="C6" s="53"/>
      <c r="D6" s="54"/>
      <c r="E6" s="54"/>
      <c r="F6" s="54"/>
      <c r="G6" s="54"/>
      <c r="H6" s="54"/>
      <c r="I6" s="54"/>
      <c r="J6" s="82"/>
      <c r="K6" s="51"/>
      <c r="L6" s="53"/>
      <c r="M6" s="54"/>
      <c r="N6" s="54"/>
      <c r="O6" s="54"/>
      <c r="P6" s="54"/>
      <c r="Q6" s="54"/>
      <c r="R6" s="54"/>
      <c r="S6" s="82"/>
      <c r="T6" s="51"/>
      <c r="U6" s="53"/>
      <c r="V6" s="54"/>
      <c r="W6" s="54"/>
      <c r="X6" s="54"/>
      <c r="Y6" s="54"/>
      <c r="Z6" s="54"/>
      <c r="AA6" s="53"/>
      <c r="AB6" s="52"/>
      <c r="AC6" s="51"/>
      <c r="AD6" s="53"/>
      <c r="AE6" s="54"/>
      <c r="AF6" s="54"/>
      <c r="AG6" s="54"/>
      <c r="AH6" s="54"/>
      <c r="AI6" s="54"/>
      <c r="AJ6" s="54"/>
      <c r="AK6" s="54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</row>
    <row r="7" spans="1:75" x14ac:dyDescent="0.2">
      <c r="A7" s="17">
        <v>1968</v>
      </c>
      <c r="B7" s="51"/>
      <c r="C7" s="53"/>
      <c r="D7" s="54"/>
      <c r="E7" s="54"/>
      <c r="F7" s="54"/>
      <c r="G7" s="54"/>
      <c r="H7" s="54"/>
      <c r="I7" s="54"/>
      <c r="J7" s="82"/>
      <c r="K7" s="51"/>
      <c r="L7" s="53"/>
      <c r="M7" s="54"/>
      <c r="N7" s="54"/>
      <c r="O7" s="54"/>
      <c r="P7" s="54"/>
      <c r="Q7" s="54"/>
      <c r="R7" s="54"/>
      <c r="S7" s="82"/>
      <c r="T7" s="51"/>
      <c r="U7" s="53"/>
      <c r="V7" s="54"/>
      <c r="W7" s="54"/>
      <c r="X7" s="54"/>
      <c r="Y7" s="54"/>
      <c r="Z7" s="54"/>
      <c r="AA7" s="53"/>
      <c r="AB7" s="52"/>
      <c r="AC7" s="51"/>
      <c r="AD7" s="53"/>
      <c r="AE7" s="54"/>
      <c r="AF7" s="54"/>
      <c r="AG7" s="54"/>
      <c r="AH7" s="54"/>
      <c r="AI7" s="54"/>
      <c r="AJ7" s="54"/>
      <c r="AK7" s="54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</row>
    <row r="8" spans="1:75" x14ac:dyDescent="0.2">
      <c r="A8" s="17">
        <v>1969</v>
      </c>
      <c r="B8" s="51"/>
      <c r="C8" s="53"/>
      <c r="D8" s="54"/>
      <c r="E8" s="54"/>
      <c r="F8" s="54"/>
      <c r="G8" s="54"/>
      <c r="H8" s="54"/>
      <c r="I8" s="54"/>
      <c r="J8" s="82"/>
      <c r="K8" s="51"/>
      <c r="L8" s="53"/>
      <c r="M8" s="54"/>
      <c r="N8" s="54"/>
      <c r="O8" s="54"/>
      <c r="P8" s="54"/>
      <c r="Q8" s="54"/>
      <c r="R8" s="54"/>
      <c r="S8" s="82"/>
      <c r="T8" s="51"/>
      <c r="U8" s="53"/>
      <c r="V8" s="54"/>
      <c r="W8" s="54"/>
      <c r="X8" s="54"/>
      <c r="Y8" s="54"/>
      <c r="Z8" s="54"/>
      <c r="AA8" s="53"/>
      <c r="AB8" s="52"/>
      <c r="AC8" s="51"/>
      <c r="AD8" s="53"/>
      <c r="AE8" s="54"/>
      <c r="AF8" s="54"/>
      <c r="AG8" s="54"/>
      <c r="AH8" s="54"/>
      <c r="AI8" s="54"/>
      <c r="AJ8" s="54"/>
      <c r="AK8" s="54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</row>
    <row r="9" spans="1:75" x14ac:dyDescent="0.2">
      <c r="A9" s="17">
        <v>1970</v>
      </c>
      <c r="B9" s="51"/>
      <c r="C9" s="53"/>
      <c r="D9" s="54"/>
      <c r="E9" s="54"/>
      <c r="F9" s="54"/>
      <c r="G9" s="54"/>
      <c r="H9" s="54"/>
      <c r="I9" s="54"/>
      <c r="J9" s="82"/>
      <c r="K9" s="51"/>
      <c r="L9" s="53"/>
      <c r="M9" s="54"/>
      <c r="N9" s="54"/>
      <c r="O9" s="54"/>
      <c r="P9" s="54"/>
      <c r="Q9" s="54"/>
      <c r="R9" s="54"/>
      <c r="S9" s="82"/>
      <c r="T9" s="51"/>
      <c r="U9" s="53"/>
      <c r="V9" s="54"/>
      <c r="W9" s="54"/>
      <c r="X9" s="54"/>
      <c r="Y9" s="54"/>
      <c r="Z9" s="54"/>
      <c r="AA9" s="53"/>
      <c r="AB9" s="52"/>
      <c r="AC9" s="51"/>
      <c r="AD9" s="53"/>
      <c r="AE9" s="54"/>
      <c r="AF9" s="54"/>
      <c r="AG9" s="54"/>
      <c r="AH9" s="54"/>
      <c r="AI9" s="54"/>
      <c r="AJ9" s="54"/>
      <c r="AK9" s="54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</row>
    <row r="10" spans="1:75" x14ac:dyDescent="0.2">
      <c r="A10" s="17">
        <v>1971</v>
      </c>
      <c r="B10" s="51"/>
      <c r="C10" s="53"/>
      <c r="D10" s="54"/>
      <c r="E10" s="54"/>
      <c r="F10" s="54"/>
      <c r="G10" s="54"/>
      <c r="H10" s="54"/>
      <c r="I10" s="54"/>
      <c r="J10" s="82"/>
      <c r="K10" s="51"/>
      <c r="L10" s="53"/>
      <c r="M10" s="54"/>
      <c r="N10" s="54"/>
      <c r="O10" s="54"/>
      <c r="P10" s="54"/>
      <c r="Q10" s="54"/>
      <c r="R10" s="54"/>
      <c r="S10" s="82"/>
      <c r="T10" s="51"/>
      <c r="U10" s="53"/>
      <c r="V10" s="54"/>
      <c r="W10" s="54"/>
      <c r="X10" s="54"/>
      <c r="Y10" s="54"/>
      <c r="Z10" s="54"/>
      <c r="AA10" s="53"/>
      <c r="AB10" s="52"/>
      <c r="AC10" s="51"/>
      <c r="AD10" s="53"/>
      <c r="AE10" s="54"/>
      <c r="AF10" s="54"/>
      <c r="AG10" s="54"/>
      <c r="AH10" s="54"/>
      <c r="AI10" s="54"/>
      <c r="AJ10" s="54"/>
      <c r="AK10" s="54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</row>
    <row r="11" spans="1:75" x14ac:dyDescent="0.2">
      <c r="A11" s="17">
        <v>1972</v>
      </c>
      <c r="B11" s="51"/>
      <c r="C11" s="53"/>
      <c r="D11" s="54"/>
      <c r="E11" s="54"/>
      <c r="F11" s="54"/>
      <c r="G11" s="54"/>
      <c r="H11" s="54"/>
      <c r="I11" s="54"/>
      <c r="J11" s="82"/>
      <c r="K11" s="51"/>
      <c r="L11" s="53"/>
      <c r="M11" s="54"/>
      <c r="N11" s="54"/>
      <c r="O11" s="54"/>
      <c r="P11" s="54"/>
      <c r="Q11" s="54"/>
      <c r="R11" s="54"/>
      <c r="S11" s="82"/>
      <c r="T11" s="51"/>
      <c r="U11" s="53"/>
      <c r="V11" s="54"/>
      <c r="W11" s="54"/>
      <c r="X11" s="54"/>
      <c r="Y11" s="54"/>
      <c r="Z11" s="54"/>
      <c r="AA11" s="53"/>
      <c r="AB11" s="52"/>
      <c r="AC11" s="51"/>
      <c r="AD11" s="53"/>
      <c r="AE11" s="54"/>
      <c r="AF11" s="54"/>
      <c r="AG11" s="54"/>
      <c r="AH11" s="54"/>
      <c r="AI11" s="54"/>
      <c r="AJ11" s="54"/>
      <c r="AK11" s="54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</row>
    <row r="12" spans="1:75" x14ac:dyDescent="0.2">
      <c r="A12" s="17">
        <v>1973</v>
      </c>
      <c r="B12" s="51"/>
      <c r="C12" s="53"/>
      <c r="D12" s="54"/>
      <c r="E12" s="54"/>
      <c r="F12" s="54"/>
      <c r="G12" s="54"/>
      <c r="H12" s="54"/>
      <c r="I12" s="54"/>
      <c r="J12" s="82"/>
      <c r="K12" s="51"/>
      <c r="L12" s="53"/>
      <c r="M12" s="54"/>
      <c r="N12" s="54"/>
      <c r="O12" s="54"/>
      <c r="P12" s="54"/>
      <c r="Q12" s="54"/>
      <c r="R12" s="54"/>
      <c r="S12" s="82"/>
      <c r="T12" s="51"/>
      <c r="U12" s="53"/>
      <c r="V12" s="54"/>
      <c r="W12" s="54"/>
      <c r="X12" s="54"/>
      <c r="Y12" s="54"/>
      <c r="Z12" s="54"/>
      <c r="AA12" s="53"/>
      <c r="AB12" s="52"/>
      <c r="AC12" s="51"/>
      <c r="AD12" s="53"/>
      <c r="AE12" s="54"/>
      <c r="AF12" s="54"/>
      <c r="AG12" s="54"/>
      <c r="AH12" s="54"/>
      <c r="AI12" s="54"/>
      <c r="AJ12" s="54"/>
      <c r="AK12" s="54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</row>
    <row r="13" spans="1:75" x14ac:dyDescent="0.2">
      <c r="A13" s="17">
        <v>1974</v>
      </c>
      <c r="B13" s="51"/>
      <c r="C13" s="53"/>
      <c r="D13" s="54"/>
      <c r="E13" s="54"/>
      <c r="F13" s="54"/>
      <c r="G13" s="54"/>
      <c r="H13" s="54"/>
      <c r="I13" s="54"/>
      <c r="J13" s="82"/>
      <c r="K13" s="51"/>
      <c r="L13" s="53"/>
      <c r="M13" s="54"/>
      <c r="N13" s="54"/>
      <c r="O13" s="54"/>
      <c r="P13" s="54"/>
      <c r="Q13" s="54"/>
      <c r="R13" s="54"/>
      <c r="S13" s="82"/>
      <c r="T13" s="51"/>
      <c r="U13" s="53"/>
      <c r="V13" s="54"/>
      <c r="W13" s="54"/>
      <c r="X13" s="54"/>
      <c r="Y13" s="54"/>
      <c r="Z13" s="54"/>
      <c r="AA13" s="53"/>
      <c r="AB13" s="52"/>
      <c r="AC13" s="51"/>
      <c r="AD13" s="53"/>
      <c r="AE13" s="54"/>
      <c r="AF13" s="54"/>
      <c r="AG13" s="54"/>
      <c r="AH13" s="54"/>
      <c r="AI13" s="54"/>
      <c r="AJ13" s="54"/>
      <c r="AK13" s="54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</row>
    <row r="14" spans="1:75" x14ac:dyDescent="0.2">
      <c r="A14" s="17">
        <v>1975</v>
      </c>
      <c r="B14" s="51"/>
      <c r="C14" s="53"/>
      <c r="D14" s="54"/>
      <c r="E14" s="54"/>
      <c r="F14" s="54"/>
      <c r="G14" s="54"/>
      <c r="H14" s="54"/>
      <c r="I14" s="54"/>
      <c r="J14" s="82"/>
      <c r="K14" s="51"/>
      <c r="L14" s="53"/>
      <c r="M14" s="54"/>
      <c r="N14" s="54"/>
      <c r="O14" s="54"/>
      <c r="P14" s="54"/>
      <c r="Q14" s="54"/>
      <c r="R14" s="54"/>
      <c r="S14" s="82"/>
      <c r="T14" s="51"/>
      <c r="U14" s="53"/>
      <c r="V14" s="54"/>
      <c r="W14" s="54"/>
      <c r="X14" s="54"/>
      <c r="Y14" s="54"/>
      <c r="Z14" s="54"/>
      <c r="AA14" s="53"/>
      <c r="AB14" s="52"/>
      <c r="AC14" s="51"/>
      <c r="AD14" s="53"/>
      <c r="AE14" s="54"/>
      <c r="AF14" s="54"/>
      <c r="AG14" s="54"/>
      <c r="AH14" s="54"/>
      <c r="AI14" s="54"/>
      <c r="AJ14" s="54"/>
      <c r="AK14" s="54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</row>
    <row r="15" spans="1:75" x14ac:dyDescent="0.2">
      <c r="A15" s="17">
        <v>1976</v>
      </c>
      <c r="B15" s="51"/>
      <c r="C15" s="53"/>
      <c r="D15" s="54"/>
      <c r="E15" s="54"/>
      <c r="F15" s="54"/>
      <c r="G15" s="54"/>
      <c r="H15" s="54"/>
      <c r="I15" s="54"/>
      <c r="J15" s="82"/>
      <c r="K15" s="51"/>
      <c r="L15" s="53"/>
      <c r="M15" s="54"/>
      <c r="N15" s="54"/>
      <c r="O15" s="54"/>
      <c r="P15" s="54"/>
      <c r="Q15" s="54"/>
      <c r="R15" s="54"/>
      <c r="S15" s="82"/>
      <c r="T15" s="51"/>
      <c r="U15" s="53"/>
      <c r="V15" s="54"/>
      <c r="W15" s="54"/>
      <c r="X15" s="54"/>
      <c r="Y15" s="54"/>
      <c r="Z15" s="54"/>
      <c r="AA15" s="53"/>
      <c r="AB15" s="52"/>
      <c r="AC15" s="51"/>
      <c r="AD15" s="53"/>
      <c r="AE15" s="54"/>
      <c r="AF15" s="54"/>
      <c r="AG15" s="54"/>
      <c r="AH15" s="54"/>
      <c r="AI15" s="54"/>
      <c r="AJ15" s="54"/>
      <c r="AK15" s="54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</row>
    <row r="16" spans="1:75" x14ac:dyDescent="0.2">
      <c r="A16" s="17">
        <v>1977</v>
      </c>
      <c r="B16" s="51"/>
      <c r="C16" s="53"/>
      <c r="D16" s="54"/>
      <c r="E16" s="54"/>
      <c r="F16" s="54"/>
      <c r="G16" s="54"/>
      <c r="H16" s="54"/>
      <c r="I16" s="54"/>
      <c r="J16" s="82"/>
      <c r="K16" s="51"/>
      <c r="L16" s="53"/>
      <c r="M16" s="54"/>
      <c r="N16" s="54"/>
      <c r="O16" s="54"/>
      <c r="P16" s="54"/>
      <c r="Q16" s="54"/>
      <c r="R16" s="54"/>
      <c r="S16" s="82"/>
      <c r="T16" s="51"/>
      <c r="U16" s="53"/>
      <c r="V16" s="54"/>
      <c r="W16" s="54"/>
      <c r="X16" s="54"/>
      <c r="Y16" s="54"/>
      <c r="Z16" s="54"/>
      <c r="AA16" s="53"/>
      <c r="AB16" s="52"/>
      <c r="AC16" s="51"/>
      <c r="AD16" s="53"/>
      <c r="AE16" s="54"/>
      <c r="AF16" s="54"/>
      <c r="AG16" s="54"/>
      <c r="AH16" s="54"/>
      <c r="AI16" s="54"/>
      <c r="AJ16" s="54"/>
      <c r="AK16" s="54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</row>
    <row r="17" spans="1:75" x14ac:dyDescent="0.2">
      <c r="A17" s="17">
        <v>1978</v>
      </c>
      <c r="B17" s="51"/>
      <c r="C17" s="53"/>
      <c r="D17" s="54"/>
      <c r="E17" s="54"/>
      <c r="F17" s="54"/>
      <c r="G17" s="54"/>
      <c r="H17" s="54"/>
      <c r="I17" s="54"/>
      <c r="J17" s="82"/>
      <c r="K17" s="51"/>
      <c r="L17" s="53"/>
      <c r="M17" s="54"/>
      <c r="N17" s="54"/>
      <c r="O17" s="54"/>
      <c r="P17" s="54"/>
      <c r="Q17" s="54"/>
      <c r="R17" s="54"/>
      <c r="S17" s="82"/>
      <c r="T17" s="51"/>
      <c r="U17" s="53"/>
      <c r="V17" s="54"/>
      <c r="W17" s="54"/>
      <c r="X17" s="54"/>
      <c r="Y17" s="54"/>
      <c r="Z17" s="54"/>
      <c r="AA17" s="53"/>
      <c r="AB17" s="52"/>
      <c r="AC17" s="51"/>
      <c r="AD17" s="53"/>
      <c r="AE17" s="54"/>
      <c r="AF17" s="54"/>
      <c r="AG17" s="54"/>
      <c r="AH17" s="54"/>
      <c r="AI17" s="54"/>
      <c r="AJ17" s="54"/>
      <c r="AK17" s="54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</row>
    <row r="18" spans="1:75" x14ac:dyDescent="0.2">
      <c r="A18" s="17">
        <v>1979</v>
      </c>
      <c r="B18" s="51"/>
      <c r="C18" s="53"/>
      <c r="D18" s="54"/>
      <c r="E18" s="54"/>
      <c r="F18" s="54"/>
      <c r="G18" s="54"/>
      <c r="H18" s="54"/>
      <c r="I18" s="54"/>
      <c r="J18" s="82"/>
      <c r="K18" s="51"/>
      <c r="L18" s="53"/>
      <c r="M18" s="54"/>
      <c r="N18" s="54"/>
      <c r="O18" s="54"/>
      <c r="P18" s="54"/>
      <c r="Q18" s="54"/>
      <c r="R18" s="54"/>
      <c r="S18" s="82"/>
      <c r="T18" s="51"/>
      <c r="U18" s="53"/>
      <c r="V18" s="54"/>
      <c r="W18" s="54"/>
      <c r="X18" s="54"/>
      <c r="Y18" s="54"/>
      <c r="Z18" s="54"/>
      <c r="AA18" s="53"/>
      <c r="AB18" s="52"/>
      <c r="AC18" s="51"/>
      <c r="AD18" s="53"/>
      <c r="AE18" s="54"/>
      <c r="AF18" s="54"/>
      <c r="AG18" s="54"/>
      <c r="AH18" s="54"/>
      <c r="AI18" s="54"/>
      <c r="AJ18" s="54"/>
      <c r="AK18" s="54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</row>
    <row r="19" spans="1:75" x14ac:dyDescent="0.2">
      <c r="A19" s="17">
        <v>1980</v>
      </c>
      <c r="B19" s="51"/>
      <c r="C19" s="53"/>
      <c r="D19" s="54"/>
      <c r="E19" s="54"/>
      <c r="F19" s="54"/>
      <c r="G19" s="54"/>
      <c r="H19" s="54"/>
      <c r="I19" s="54"/>
      <c r="J19" s="82"/>
      <c r="K19" s="51"/>
      <c r="L19" s="53"/>
      <c r="M19" s="54"/>
      <c r="N19" s="54"/>
      <c r="O19" s="54"/>
      <c r="P19" s="54"/>
      <c r="Q19" s="54"/>
      <c r="R19" s="54"/>
      <c r="S19" s="82"/>
      <c r="T19" s="51"/>
      <c r="U19" s="53"/>
      <c r="V19" s="54"/>
      <c r="W19" s="54"/>
      <c r="X19" s="54"/>
      <c r="Y19" s="54"/>
      <c r="Z19" s="54"/>
      <c r="AA19" s="53"/>
      <c r="AB19" s="52"/>
      <c r="AC19" s="51"/>
      <c r="AD19" s="53"/>
      <c r="AE19" s="54"/>
      <c r="AF19" s="54"/>
      <c r="AG19" s="54"/>
      <c r="AH19" s="54"/>
      <c r="AI19" s="54"/>
      <c r="AJ19" s="54"/>
      <c r="AK19" s="54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</row>
    <row r="20" spans="1:75" x14ac:dyDescent="0.2">
      <c r="A20" s="17">
        <v>1981</v>
      </c>
      <c r="B20" s="51"/>
      <c r="C20" s="53"/>
      <c r="D20" s="54"/>
      <c r="E20" s="54"/>
      <c r="F20" s="54"/>
      <c r="G20" s="54"/>
      <c r="H20" s="54"/>
      <c r="I20" s="54"/>
      <c r="J20" s="82"/>
      <c r="K20" s="51"/>
      <c r="L20" s="53"/>
      <c r="M20" s="54"/>
      <c r="N20" s="54"/>
      <c r="O20" s="54"/>
      <c r="P20" s="54"/>
      <c r="Q20" s="54"/>
      <c r="R20" s="54"/>
      <c r="S20" s="82"/>
      <c r="T20" s="51"/>
      <c r="U20" s="53"/>
      <c r="V20" s="54"/>
      <c r="W20" s="54"/>
      <c r="X20" s="54"/>
      <c r="Y20" s="54"/>
      <c r="Z20" s="54"/>
      <c r="AA20" s="53"/>
      <c r="AB20" s="52"/>
      <c r="AC20" s="51"/>
      <c r="AD20" s="53"/>
      <c r="AE20" s="54"/>
      <c r="AF20" s="54"/>
      <c r="AG20" s="54"/>
      <c r="AH20" s="54"/>
      <c r="AI20" s="54"/>
      <c r="AJ20" s="54"/>
      <c r="AK20" s="54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</row>
    <row r="21" spans="1:75" x14ac:dyDescent="0.2">
      <c r="A21" s="17">
        <v>1982</v>
      </c>
      <c r="B21" s="51"/>
      <c r="C21" s="53"/>
      <c r="D21" s="54"/>
      <c r="E21" s="54"/>
      <c r="F21" s="54"/>
      <c r="G21" s="54"/>
      <c r="H21" s="54"/>
      <c r="I21" s="54"/>
      <c r="J21" s="82"/>
      <c r="K21" s="51"/>
      <c r="L21" s="53"/>
      <c r="M21" s="54"/>
      <c r="N21" s="54"/>
      <c r="O21" s="54"/>
      <c r="P21" s="54"/>
      <c r="Q21" s="54"/>
      <c r="R21" s="54"/>
      <c r="S21" s="82"/>
      <c r="T21" s="51"/>
      <c r="U21" s="53"/>
      <c r="V21" s="54"/>
      <c r="W21" s="54"/>
      <c r="X21" s="54"/>
      <c r="Y21" s="54"/>
      <c r="Z21" s="54"/>
      <c r="AA21" s="53"/>
      <c r="AB21" s="52"/>
      <c r="AC21" s="51"/>
      <c r="AD21" s="53"/>
      <c r="AE21" s="54"/>
      <c r="AF21" s="54"/>
      <c r="AG21" s="54"/>
      <c r="AH21" s="54"/>
      <c r="AI21" s="54"/>
      <c r="AJ21" s="54"/>
      <c r="AK21" s="54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</row>
    <row r="22" spans="1:75" x14ac:dyDescent="0.2">
      <c r="A22" s="17">
        <v>1983</v>
      </c>
      <c r="B22" s="51"/>
      <c r="C22" s="53"/>
      <c r="D22" s="54"/>
      <c r="E22" s="54"/>
      <c r="F22" s="54"/>
      <c r="G22" s="54"/>
      <c r="H22" s="54"/>
      <c r="I22" s="54"/>
      <c r="J22" s="82"/>
      <c r="K22" s="51"/>
      <c r="L22" s="53"/>
      <c r="M22" s="54"/>
      <c r="N22" s="54"/>
      <c r="O22" s="54"/>
      <c r="P22" s="54"/>
      <c r="Q22" s="54"/>
      <c r="R22" s="54"/>
      <c r="S22" s="82"/>
      <c r="T22" s="51"/>
      <c r="U22" s="53"/>
      <c r="V22" s="54"/>
      <c r="W22" s="54"/>
      <c r="X22" s="54"/>
      <c r="Y22" s="54"/>
      <c r="Z22" s="54"/>
      <c r="AA22" s="53"/>
      <c r="AB22" s="52"/>
      <c r="AC22" s="51"/>
      <c r="AD22" s="53"/>
      <c r="AE22" s="54"/>
      <c r="AF22" s="54"/>
      <c r="AG22" s="54"/>
      <c r="AH22" s="54"/>
      <c r="AI22" s="54"/>
      <c r="AJ22" s="54"/>
      <c r="AK22" s="54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</row>
    <row r="23" spans="1:75" x14ac:dyDescent="0.2">
      <c r="A23" s="17">
        <v>1984</v>
      </c>
      <c r="B23" s="51">
        <f>D23+F23+G23</f>
        <v>1</v>
      </c>
      <c r="C23" s="53">
        <f>C22+B23</f>
        <v>1</v>
      </c>
      <c r="D23" s="54">
        <v>1</v>
      </c>
      <c r="E23" s="54"/>
      <c r="F23" s="54"/>
      <c r="G23" s="54"/>
      <c r="H23" s="54">
        <f>H22+D23</f>
        <v>1</v>
      </c>
      <c r="I23" s="54"/>
      <c r="J23" s="82"/>
      <c r="K23" s="51"/>
      <c r="L23" s="53"/>
      <c r="M23" s="54"/>
      <c r="N23" s="54"/>
      <c r="O23" s="54"/>
      <c r="P23" s="54"/>
      <c r="Q23" s="54"/>
      <c r="R23" s="54"/>
      <c r="S23" s="82"/>
      <c r="T23" s="51"/>
      <c r="U23" s="53"/>
      <c r="V23" s="54"/>
      <c r="W23" s="54"/>
      <c r="X23" s="54"/>
      <c r="Y23" s="54"/>
      <c r="Z23" s="54"/>
      <c r="AA23" s="53"/>
      <c r="AB23" s="52"/>
      <c r="AC23" s="51">
        <f t="shared" ref="AC23:AC59" si="0">B23+K23+T23</f>
        <v>1</v>
      </c>
      <c r="AD23" s="53">
        <f t="shared" ref="AD23:AD59" si="1">C23+L23+U23</f>
        <v>1</v>
      </c>
      <c r="AE23" s="54">
        <f t="shared" ref="AE23:AE59" si="2">D23+M23+V23</f>
        <v>1</v>
      </c>
      <c r="AF23" s="54"/>
      <c r="AG23" s="54"/>
      <c r="AH23" s="54"/>
      <c r="AI23" s="54">
        <f>AE23</f>
        <v>1</v>
      </c>
      <c r="AJ23" s="54"/>
      <c r="AK23" s="54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</row>
    <row r="24" spans="1:75" x14ac:dyDescent="0.2">
      <c r="A24" s="17">
        <v>1985</v>
      </c>
      <c r="B24" s="51">
        <f t="shared" ref="B24:B43" si="3">D24+F24+G24</f>
        <v>4</v>
      </c>
      <c r="C24" s="53">
        <f t="shared" ref="C24:C43" si="4">C23+B24</f>
        <v>5</v>
      </c>
      <c r="D24" s="54">
        <v>4</v>
      </c>
      <c r="E24" s="54"/>
      <c r="F24" s="54"/>
      <c r="G24" s="54"/>
      <c r="H24" s="54">
        <f t="shared" ref="H24:H43" si="5">H23+D24</f>
        <v>5</v>
      </c>
      <c r="I24" s="54"/>
      <c r="J24" s="82"/>
      <c r="K24" s="51"/>
      <c r="L24" s="53"/>
      <c r="M24" s="54"/>
      <c r="N24" s="54"/>
      <c r="O24" s="54"/>
      <c r="P24" s="54"/>
      <c r="Q24" s="54"/>
      <c r="R24" s="54"/>
      <c r="S24" s="82"/>
      <c r="T24" s="51">
        <f>V24+X24+Y24</f>
        <v>8</v>
      </c>
      <c r="U24" s="53">
        <f>U23+T24</f>
        <v>8</v>
      </c>
      <c r="V24" s="54">
        <v>8</v>
      </c>
      <c r="W24" s="54"/>
      <c r="X24" s="54"/>
      <c r="Y24" s="54"/>
      <c r="Z24" s="54">
        <f>Z23+V24</f>
        <v>8</v>
      </c>
      <c r="AA24" s="53"/>
      <c r="AB24" s="52"/>
      <c r="AC24" s="51">
        <f t="shared" si="0"/>
        <v>12</v>
      </c>
      <c r="AD24" s="53">
        <f t="shared" si="1"/>
        <v>13</v>
      </c>
      <c r="AE24" s="54">
        <f t="shared" si="2"/>
        <v>12</v>
      </c>
      <c r="AF24" s="54"/>
      <c r="AG24" s="54"/>
      <c r="AH24" s="54"/>
      <c r="AI24" s="54">
        <f>AI23+AE24</f>
        <v>13</v>
      </c>
      <c r="AJ24" s="54"/>
      <c r="AK24" s="54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</row>
    <row r="25" spans="1:75" x14ac:dyDescent="0.2">
      <c r="A25" s="17">
        <v>1986</v>
      </c>
      <c r="B25" s="51">
        <f t="shared" si="3"/>
        <v>9</v>
      </c>
      <c r="C25" s="53">
        <f t="shared" si="4"/>
        <v>14</v>
      </c>
      <c r="D25" s="54">
        <v>9</v>
      </c>
      <c r="E25" s="54"/>
      <c r="F25" s="54"/>
      <c r="G25" s="54"/>
      <c r="H25" s="54">
        <f t="shared" si="5"/>
        <v>14</v>
      </c>
      <c r="I25" s="54"/>
      <c r="J25" s="82"/>
      <c r="K25" s="51"/>
      <c r="L25" s="53"/>
      <c r="M25" s="54"/>
      <c r="N25" s="54"/>
      <c r="O25" s="54"/>
      <c r="P25" s="54"/>
      <c r="Q25" s="54"/>
      <c r="R25" s="54"/>
      <c r="S25" s="82"/>
      <c r="T25" s="51">
        <f t="shared" ref="T25:T43" si="6">V25+X25+Y25</f>
        <v>10</v>
      </c>
      <c r="U25" s="53">
        <f t="shared" ref="U25:U43" si="7">U24+T25</f>
        <v>18</v>
      </c>
      <c r="V25" s="54">
        <v>10</v>
      </c>
      <c r="W25" s="54"/>
      <c r="X25" s="54"/>
      <c r="Y25" s="54"/>
      <c r="Z25" s="54">
        <f t="shared" ref="Z25:Z43" si="8">Z24+V25</f>
        <v>18</v>
      </c>
      <c r="AA25" s="53"/>
      <c r="AB25" s="52"/>
      <c r="AC25" s="51">
        <f t="shared" si="0"/>
        <v>19</v>
      </c>
      <c r="AD25" s="53">
        <f t="shared" si="1"/>
        <v>32</v>
      </c>
      <c r="AE25" s="54">
        <f t="shared" si="2"/>
        <v>19</v>
      </c>
      <c r="AF25" s="54"/>
      <c r="AG25" s="54"/>
      <c r="AH25" s="54"/>
      <c r="AI25" s="54">
        <f t="shared" ref="AI25:AI43" si="9">AI24+AE25</f>
        <v>32</v>
      </c>
      <c r="AJ25" s="54"/>
      <c r="AK25" s="54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</row>
    <row r="26" spans="1:75" x14ac:dyDescent="0.2">
      <c r="A26" s="17">
        <v>1987</v>
      </c>
      <c r="B26" s="51">
        <f t="shared" si="3"/>
        <v>16</v>
      </c>
      <c r="C26" s="53">
        <f t="shared" si="4"/>
        <v>30</v>
      </c>
      <c r="D26" s="54">
        <v>16</v>
      </c>
      <c r="E26" s="54"/>
      <c r="F26" s="54"/>
      <c r="G26" s="54"/>
      <c r="H26" s="54">
        <f t="shared" si="5"/>
        <v>30</v>
      </c>
      <c r="I26" s="54"/>
      <c r="J26" s="82"/>
      <c r="K26" s="51"/>
      <c r="L26" s="53"/>
      <c r="M26" s="54"/>
      <c r="N26" s="54"/>
      <c r="O26" s="54"/>
      <c r="P26" s="54"/>
      <c r="Q26" s="54"/>
      <c r="R26" s="54"/>
      <c r="S26" s="82"/>
      <c r="T26" s="51">
        <f t="shared" si="6"/>
        <v>10</v>
      </c>
      <c r="U26" s="53">
        <f t="shared" si="7"/>
        <v>28</v>
      </c>
      <c r="V26" s="54">
        <v>10</v>
      </c>
      <c r="W26" s="54"/>
      <c r="X26" s="54"/>
      <c r="Y26" s="54"/>
      <c r="Z26" s="54">
        <f t="shared" si="8"/>
        <v>28</v>
      </c>
      <c r="AA26" s="53"/>
      <c r="AB26" s="52"/>
      <c r="AC26" s="51">
        <f t="shared" si="0"/>
        <v>26</v>
      </c>
      <c r="AD26" s="53">
        <f t="shared" si="1"/>
        <v>58</v>
      </c>
      <c r="AE26" s="54">
        <f t="shared" si="2"/>
        <v>26</v>
      </c>
      <c r="AF26" s="54"/>
      <c r="AG26" s="54"/>
      <c r="AH26" s="54"/>
      <c r="AI26" s="54">
        <f t="shared" si="9"/>
        <v>58</v>
      </c>
      <c r="AJ26" s="54"/>
      <c r="AK26" s="54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</row>
    <row r="27" spans="1:75" x14ac:dyDescent="0.2">
      <c r="A27" s="17">
        <v>1988</v>
      </c>
      <c r="B27" s="51">
        <f t="shared" si="3"/>
        <v>19</v>
      </c>
      <c r="C27" s="53">
        <f t="shared" si="4"/>
        <v>49</v>
      </c>
      <c r="D27" s="54">
        <v>19</v>
      </c>
      <c r="E27" s="54"/>
      <c r="F27" s="54"/>
      <c r="G27" s="54"/>
      <c r="H27" s="54">
        <f t="shared" si="5"/>
        <v>49</v>
      </c>
      <c r="I27" s="54"/>
      <c r="J27" s="82"/>
      <c r="K27" s="51">
        <f>M27+O27+P27</f>
        <v>1</v>
      </c>
      <c r="L27" s="53">
        <f>L26+K27</f>
        <v>1</v>
      </c>
      <c r="M27" s="54">
        <v>1</v>
      </c>
      <c r="N27" s="54"/>
      <c r="O27" s="54"/>
      <c r="P27" s="54"/>
      <c r="Q27" s="54">
        <f>Q26+M27</f>
        <v>1</v>
      </c>
      <c r="R27" s="54"/>
      <c r="S27" s="82"/>
      <c r="T27" s="51">
        <f t="shared" si="6"/>
        <v>22</v>
      </c>
      <c r="U27" s="53">
        <f t="shared" si="7"/>
        <v>50</v>
      </c>
      <c r="V27" s="54">
        <v>22</v>
      </c>
      <c r="W27" s="54"/>
      <c r="X27" s="54"/>
      <c r="Y27" s="54"/>
      <c r="Z27" s="54">
        <f t="shared" si="8"/>
        <v>50</v>
      </c>
      <c r="AA27" s="53"/>
      <c r="AB27" s="52"/>
      <c r="AC27" s="51">
        <f t="shared" si="0"/>
        <v>42</v>
      </c>
      <c r="AD27" s="53">
        <f t="shared" si="1"/>
        <v>100</v>
      </c>
      <c r="AE27" s="54">
        <f t="shared" si="2"/>
        <v>42</v>
      </c>
      <c r="AF27" s="54"/>
      <c r="AG27" s="54"/>
      <c r="AH27" s="54"/>
      <c r="AI27" s="54">
        <f t="shared" si="9"/>
        <v>100</v>
      </c>
      <c r="AJ27" s="54"/>
      <c r="AK27" s="54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</row>
    <row r="28" spans="1:75" x14ac:dyDescent="0.2">
      <c r="A28" s="17">
        <v>1989</v>
      </c>
      <c r="B28" s="51">
        <f t="shared" si="3"/>
        <v>19</v>
      </c>
      <c r="C28" s="53">
        <f t="shared" si="4"/>
        <v>68</v>
      </c>
      <c r="D28" s="54">
        <v>19</v>
      </c>
      <c r="E28" s="54"/>
      <c r="F28" s="54"/>
      <c r="G28" s="54"/>
      <c r="H28" s="54">
        <f t="shared" si="5"/>
        <v>68</v>
      </c>
      <c r="I28" s="54"/>
      <c r="J28" s="82"/>
      <c r="K28" s="51"/>
      <c r="L28" s="53">
        <f t="shared" ref="L28:L43" si="10">L27+K28</f>
        <v>1</v>
      </c>
      <c r="M28" s="54"/>
      <c r="N28" s="54"/>
      <c r="O28" s="54"/>
      <c r="P28" s="54"/>
      <c r="Q28" s="54">
        <f t="shared" ref="Q28:Q43" si="11">Q27+M28</f>
        <v>1</v>
      </c>
      <c r="R28" s="54"/>
      <c r="S28" s="82"/>
      <c r="T28" s="51">
        <f t="shared" si="6"/>
        <v>20</v>
      </c>
      <c r="U28" s="53">
        <f t="shared" si="7"/>
        <v>70</v>
      </c>
      <c r="V28" s="54">
        <v>20</v>
      </c>
      <c r="W28" s="54"/>
      <c r="X28" s="54"/>
      <c r="Y28" s="54"/>
      <c r="Z28" s="54">
        <f t="shared" si="8"/>
        <v>70</v>
      </c>
      <c r="AA28" s="53"/>
      <c r="AB28" s="52"/>
      <c r="AC28" s="51">
        <f t="shared" si="0"/>
        <v>39</v>
      </c>
      <c r="AD28" s="53">
        <f t="shared" si="1"/>
        <v>139</v>
      </c>
      <c r="AE28" s="54">
        <f t="shared" si="2"/>
        <v>39</v>
      </c>
      <c r="AF28" s="54"/>
      <c r="AG28" s="54"/>
      <c r="AH28" s="54"/>
      <c r="AI28" s="54">
        <f t="shared" si="9"/>
        <v>139</v>
      </c>
      <c r="AJ28" s="54"/>
      <c r="AK28" s="54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</row>
    <row r="29" spans="1:75" x14ac:dyDescent="0.2">
      <c r="A29" s="17">
        <v>1990</v>
      </c>
      <c r="B29" s="51">
        <f t="shared" si="3"/>
        <v>23</v>
      </c>
      <c r="C29" s="53">
        <f t="shared" si="4"/>
        <v>91</v>
      </c>
      <c r="D29" s="54">
        <v>23</v>
      </c>
      <c r="E29" s="54"/>
      <c r="F29" s="54"/>
      <c r="G29" s="54"/>
      <c r="H29" s="54">
        <f t="shared" si="5"/>
        <v>91</v>
      </c>
      <c r="I29" s="54"/>
      <c r="J29" s="82"/>
      <c r="K29" s="51">
        <f t="shared" ref="K29:K43" si="12">M29+O29+P29</f>
        <v>1</v>
      </c>
      <c r="L29" s="53">
        <f t="shared" si="10"/>
        <v>2</v>
      </c>
      <c r="M29" s="54">
        <v>1</v>
      </c>
      <c r="N29" s="54"/>
      <c r="O29" s="54"/>
      <c r="P29" s="54"/>
      <c r="Q29" s="54">
        <f t="shared" si="11"/>
        <v>2</v>
      </c>
      <c r="R29" s="54"/>
      <c r="S29" s="82"/>
      <c r="T29" s="51">
        <f t="shared" si="6"/>
        <v>24</v>
      </c>
      <c r="U29" s="53">
        <f t="shared" si="7"/>
        <v>94</v>
      </c>
      <c r="V29" s="54">
        <v>24</v>
      </c>
      <c r="W29" s="54"/>
      <c r="X29" s="54"/>
      <c r="Y29" s="54"/>
      <c r="Z29" s="54">
        <f t="shared" si="8"/>
        <v>94</v>
      </c>
      <c r="AA29" s="53"/>
      <c r="AB29" s="52"/>
      <c r="AC29" s="51">
        <f t="shared" si="0"/>
        <v>48</v>
      </c>
      <c r="AD29" s="53">
        <f t="shared" si="1"/>
        <v>187</v>
      </c>
      <c r="AE29" s="54">
        <f t="shared" si="2"/>
        <v>48</v>
      </c>
      <c r="AF29" s="54"/>
      <c r="AG29" s="54"/>
      <c r="AH29" s="54"/>
      <c r="AI29" s="54">
        <f t="shared" si="9"/>
        <v>187</v>
      </c>
      <c r="AJ29" s="54"/>
      <c r="AK29" s="54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</row>
    <row r="30" spans="1:75" x14ac:dyDescent="0.2">
      <c r="A30" s="17">
        <v>1991</v>
      </c>
      <c r="B30" s="51">
        <f t="shared" si="3"/>
        <v>35</v>
      </c>
      <c r="C30" s="53">
        <f t="shared" si="4"/>
        <v>126</v>
      </c>
      <c r="D30" s="54">
        <v>35</v>
      </c>
      <c r="E30" s="54"/>
      <c r="F30" s="54"/>
      <c r="G30" s="54"/>
      <c r="H30" s="54">
        <f t="shared" si="5"/>
        <v>126</v>
      </c>
      <c r="I30" s="54"/>
      <c r="J30" s="82"/>
      <c r="K30" s="51"/>
      <c r="L30" s="53">
        <f t="shared" si="10"/>
        <v>2</v>
      </c>
      <c r="M30" s="54"/>
      <c r="N30" s="54"/>
      <c r="O30" s="54"/>
      <c r="P30" s="54"/>
      <c r="Q30" s="54">
        <f t="shared" si="11"/>
        <v>2</v>
      </c>
      <c r="R30" s="54"/>
      <c r="S30" s="82"/>
      <c r="T30" s="51">
        <f t="shared" si="6"/>
        <v>27</v>
      </c>
      <c r="U30" s="53">
        <f t="shared" si="7"/>
        <v>121</v>
      </c>
      <c r="V30" s="54">
        <v>27</v>
      </c>
      <c r="W30" s="54"/>
      <c r="X30" s="54"/>
      <c r="Y30" s="54"/>
      <c r="Z30" s="54">
        <f t="shared" si="8"/>
        <v>121</v>
      </c>
      <c r="AA30" s="53"/>
      <c r="AB30" s="52"/>
      <c r="AC30" s="51">
        <f t="shared" si="0"/>
        <v>62</v>
      </c>
      <c r="AD30" s="53">
        <f t="shared" si="1"/>
        <v>249</v>
      </c>
      <c r="AE30" s="54">
        <f t="shared" si="2"/>
        <v>62</v>
      </c>
      <c r="AF30" s="54"/>
      <c r="AG30" s="54"/>
      <c r="AH30" s="54"/>
      <c r="AI30" s="54">
        <f t="shared" si="9"/>
        <v>249</v>
      </c>
      <c r="AJ30" s="54"/>
      <c r="AK30" s="54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</row>
    <row r="31" spans="1:75" x14ac:dyDescent="0.2">
      <c r="A31" s="17">
        <v>1992</v>
      </c>
      <c r="B31" s="51">
        <f t="shared" si="3"/>
        <v>29</v>
      </c>
      <c r="C31" s="53">
        <f t="shared" si="4"/>
        <v>155</v>
      </c>
      <c r="D31" s="54">
        <v>29</v>
      </c>
      <c r="E31" s="54"/>
      <c r="F31" s="54"/>
      <c r="G31" s="54"/>
      <c r="H31" s="54">
        <f t="shared" si="5"/>
        <v>155</v>
      </c>
      <c r="I31" s="54"/>
      <c r="J31" s="82"/>
      <c r="K31" s="51">
        <f t="shared" si="12"/>
        <v>6</v>
      </c>
      <c r="L31" s="53">
        <f t="shared" si="10"/>
        <v>8</v>
      </c>
      <c r="M31" s="54">
        <v>6</v>
      </c>
      <c r="N31" s="54"/>
      <c r="O31" s="54"/>
      <c r="P31" s="54"/>
      <c r="Q31" s="54">
        <f t="shared" si="11"/>
        <v>8</v>
      </c>
      <c r="R31" s="54"/>
      <c r="S31" s="82"/>
      <c r="T31" s="51">
        <f t="shared" si="6"/>
        <v>34</v>
      </c>
      <c r="U31" s="53">
        <f t="shared" si="7"/>
        <v>155</v>
      </c>
      <c r="V31" s="54">
        <v>34</v>
      </c>
      <c r="W31" s="54"/>
      <c r="X31" s="54"/>
      <c r="Y31" s="54"/>
      <c r="Z31" s="54">
        <f t="shared" si="8"/>
        <v>155</v>
      </c>
      <c r="AA31" s="53"/>
      <c r="AB31" s="52"/>
      <c r="AC31" s="51">
        <f t="shared" si="0"/>
        <v>69</v>
      </c>
      <c r="AD31" s="53">
        <f t="shared" si="1"/>
        <v>318</v>
      </c>
      <c r="AE31" s="54">
        <f t="shared" si="2"/>
        <v>69</v>
      </c>
      <c r="AF31" s="54"/>
      <c r="AG31" s="54"/>
      <c r="AH31" s="54"/>
      <c r="AI31" s="54">
        <f t="shared" si="9"/>
        <v>318</v>
      </c>
      <c r="AJ31" s="54"/>
      <c r="AK31" s="54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</row>
    <row r="32" spans="1:75" x14ac:dyDescent="0.2">
      <c r="A32" s="17">
        <v>1993</v>
      </c>
      <c r="B32" s="51">
        <f t="shared" si="3"/>
        <v>41</v>
      </c>
      <c r="C32" s="53">
        <f t="shared" si="4"/>
        <v>196</v>
      </c>
      <c r="D32" s="54">
        <v>41</v>
      </c>
      <c r="E32" s="54"/>
      <c r="F32" s="54"/>
      <c r="G32" s="54"/>
      <c r="H32" s="54">
        <f t="shared" si="5"/>
        <v>196</v>
      </c>
      <c r="I32" s="54"/>
      <c r="J32" s="82"/>
      <c r="K32" s="51">
        <f t="shared" si="12"/>
        <v>8</v>
      </c>
      <c r="L32" s="53">
        <f t="shared" si="10"/>
        <v>16</v>
      </c>
      <c r="M32" s="54">
        <v>8</v>
      </c>
      <c r="N32" s="54"/>
      <c r="O32" s="54"/>
      <c r="P32" s="54"/>
      <c r="Q32" s="54">
        <f t="shared" si="11"/>
        <v>16</v>
      </c>
      <c r="R32" s="54"/>
      <c r="S32" s="82"/>
      <c r="T32" s="51">
        <f t="shared" si="6"/>
        <v>33</v>
      </c>
      <c r="U32" s="53">
        <f t="shared" si="7"/>
        <v>188</v>
      </c>
      <c r="V32" s="54">
        <v>33</v>
      </c>
      <c r="W32" s="54"/>
      <c r="X32" s="54"/>
      <c r="Y32" s="54"/>
      <c r="Z32" s="54">
        <f t="shared" si="8"/>
        <v>188</v>
      </c>
      <c r="AA32" s="53"/>
      <c r="AB32" s="52"/>
      <c r="AC32" s="51">
        <f t="shared" si="0"/>
        <v>82</v>
      </c>
      <c r="AD32" s="53">
        <f t="shared" si="1"/>
        <v>400</v>
      </c>
      <c r="AE32" s="54">
        <f t="shared" si="2"/>
        <v>82</v>
      </c>
      <c r="AF32" s="54"/>
      <c r="AG32" s="54"/>
      <c r="AH32" s="54"/>
      <c r="AI32" s="54">
        <f t="shared" si="9"/>
        <v>400</v>
      </c>
      <c r="AJ32" s="54"/>
      <c r="AK32" s="54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</row>
    <row r="33" spans="1:75" x14ac:dyDescent="0.2">
      <c r="A33" s="17">
        <v>1994</v>
      </c>
      <c r="B33" s="51">
        <f t="shared" si="3"/>
        <v>40</v>
      </c>
      <c r="C33" s="53">
        <f t="shared" si="4"/>
        <v>236</v>
      </c>
      <c r="D33" s="54">
        <v>40</v>
      </c>
      <c r="E33" s="54"/>
      <c r="F33" s="54"/>
      <c r="G33" s="54"/>
      <c r="H33" s="54">
        <f t="shared" si="5"/>
        <v>236</v>
      </c>
      <c r="I33" s="54"/>
      <c r="J33" s="82"/>
      <c r="K33" s="51">
        <f t="shared" si="12"/>
        <v>6</v>
      </c>
      <c r="L33" s="53">
        <f t="shared" si="10"/>
        <v>22</v>
      </c>
      <c r="M33" s="54">
        <v>6</v>
      </c>
      <c r="N33" s="54"/>
      <c r="O33" s="54"/>
      <c r="P33" s="54"/>
      <c r="Q33" s="54">
        <f t="shared" si="11"/>
        <v>22</v>
      </c>
      <c r="R33" s="54"/>
      <c r="S33" s="82"/>
      <c r="T33" s="51">
        <f t="shared" si="6"/>
        <v>31</v>
      </c>
      <c r="U33" s="53">
        <f t="shared" si="7"/>
        <v>219</v>
      </c>
      <c r="V33" s="54">
        <v>31</v>
      </c>
      <c r="W33" s="54"/>
      <c r="X33" s="54"/>
      <c r="Y33" s="54"/>
      <c r="Z33" s="54">
        <f t="shared" si="8"/>
        <v>219</v>
      </c>
      <c r="AA33" s="53"/>
      <c r="AB33" s="52"/>
      <c r="AC33" s="51">
        <f t="shared" si="0"/>
        <v>77</v>
      </c>
      <c r="AD33" s="53">
        <f t="shared" si="1"/>
        <v>477</v>
      </c>
      <c r="AE33" s="54">
        <f t="shared" si="2"/>
        <v>77</v>
      </c>
      <c r="AF33" s="54"/>
      <c r="AG33" s="54"/>
      <c r="AH33" s="54"/>
      <c r="AI33" s="54">
        <f t="shared" si="9"/>
        <v>477</v>
      </c>
      <c r="AJ33" s="54"/>
      <c r="AK33" s="54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</row>
    <row r="34" spans="1:75" x14ac:dyDescent="0.2">
      <c r="A34" s="17">
        <v>1995</v>
      </c>
      <c r="B34" s="51">
        <f t="shared" si="3"/>
        <v>25</v>
      </c>
      <c r="C34" s="53">
        <f t="shared" si="4"/>
        <v>261</v>
      </c>
      <c r="D34" s="54">
        <v>25</v>
      </c>
      <c r="E34" s="54"/>
      <c r="F34" s="54"/>
      <c r="G34" s="54"/>
      <c r="H34" s="54">
        <f t="shared" si="5"/>
        <v>261</v>
      </c>
      <c r="I34" s="54"/>
      <c r="J34" s="82"/>
      <c r="K34" s="51">
        <f t="shared" si="12"/>
        <v>12</v>
      </c>
      <c r="L34" s="53">
        <f t="shared" si="10"/>
        <v>34</v>
      </c>
      <c r="M34" s="54">
        <v>12</v>
      </c>
      <c r="N34" s="54"/>
      <c r="O34" s="54"/>
      <c r="P34" s="54"/>
      <c r="Q34" s="54">
        <f t="shared" si="11"/>
        <v>34</v>
      </c>
      <c r="R34" s="54"/>
      <c r="S34" s="82"/>
      <c r="T34" s="51">
        <f t="shared" si="6"/>
        <v>50</v>
      </c>
      <c r="U34" s="53">
        <f t="shared" si="7"/>
        <v>269</v>
      </c>
      <c r="V34" s="54">
        <v>50</v>
      </c>
      <c r="W34" s="54"/>
      <c r="X34" s="54"/>
      <c r="Y34" s="54"/>
      <c r="Z34" s="54">
        <f t="shared" si="8"/>
        <v>269</v>
      </c>
      <c r="AA34" s="53"/>
      <c r="AB34" s="52"/>
      <c r="AC34" s="51">
        <f t="shared" si="0"/>
        <v>87</v>
      </c>
      <c r="AD34" s="53">
        <f t="shared" si="1"/>
        <v>564</v>
      </c>
      <c r="AE34" s="54">
        <f t="shared" si="2"/>
        <v>87</v>
      </c>
      <c r="AF34" s="54"/>
      <c r="AG34" s="54"/>
      <c r="AH34" s="54"/>
      <c r="AI34" s="54">
        <f t="shared" si="9"/>
        <v>564</v>
      </c>
      <c r="AJ34" s="54"/>
      <c r="AK34" s="54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</row>
    <row r="35" spans="1:75" x14ac:dyDescent="0.2">
      <c r="A35" s="17">
        <v>1996</v>
      </c>
      <c r="B35" s="51">
        <f t="shared" si="3"/>
        <v>27</v>
      </c>
      <c r="C35" s="53">
        <f t="shared" si="4"/>
        <v>288</v>
      </c>
      <c r="D35" s="54">
        <v>26</v>
      </c>
      <c r="E35" s="54"/>
      <c r="F35" s="54">
        <v>1</v>
      </c>
      <c r="G35" s="54"/>
      <c r="H35" s="54">
        <f t="shared" si="5"/>
        <v>287</v>
      </c>
      <c r="I35" s="54">
        <f t="shared" ref="I35:I43" si="13">I34+F35</f>
        <v>1</v>
      </c>
      <c r="J35" s="82"/>
      <c r="K35" s="51">
        <f t="shared" si="12"/>
        <v>5</v>
      </c>
      <c r="L35" s="53">
        <f t="shared" si="10"/>
        <v>39</v>
      </c>
      <c r="M35" s="54">
        <v>5</v>
      </c>
      <c r="N35" s="54"/>
      <c r="O35" s="54"/>
      <c r="P35" s="54"/>
      <c r="Q35" s="54">
        <f t="shared" si="11"/>
        <v>39</v>
      </c>
      <c r="R35" s="54"/>
      <c r="S35" s="82"/>
      <c r="T35" s="51">
        <f t="shared" si="6"/>
        <v>43</v>
      </c>
      <c r="U35" s="53">
        <f t="shared" si="7"/>
        <v>312</v>
      </c>
      <c r="V35" s="54">
        <v>42</v>
      </c>
      <c r="W35" s="54"/>
      <c r="X35" s="54">
        <v>1</v>
      </c>
      <c r="Y35" s="54"/>
      <c r="Z35" s="54">
        <f t="shared" si="8"/>
        <v>311</v>
      </c>
      <c r="AA35" s="53">
        <f t="shared" ref="AA35:AA43" si="14">AA34+X35</f>
        <v>1</v>
      </c>
      <c r="AB35" s="52"/>
      <c r="AC35" s="51">
        <f t="shared" si="0"/>
        <v>75</v>
      </c>
      <c r="AD35" s="53">
        <f t="shared" si="1"/>
        <v>639</v>
      </c>
      <c r="AE35" s="54">
        <f t="shared" si="2"/>
        <v>73</v>
      </c>
      <c r="AF35" s="54"/>
      <c r="AG35" s="54">
        <f t="shared" ref="AG35:AG59" si="15">F35+O35+X35</f>
        <v>2</v>
      </c>
      <c r="AH35" s="54"/>
      <c r="AI35" s="54">
        <f t="shared" si="9"/>
        <v>637</v>
      </c>
      <c r="AJ35" s="54">
        <f>AJ34+AG35</f>
        <v>2</v>
      </c>
      <c r="AK35" s="54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</row>
    <row r="36" spans="1:75" x14ac:dyDescent="0.2">
      <c r="A36" s="17">
        <v>1997</v>
      </c>
      <c r="B36" s="51">
        <f t="shared" si="3"/>
        <v>34</v>
      </c>
      <c r="C36" s="53">
        <f t="shared" si="4"/>
        <v>322</v>
      </c>
      <c r="D36" s="54">
        <v>33</v>
      </c>
      <c r="E36" s="54"/>
      <c r="F36" s="54"/>
      <c r="G36" s="54">
        <v>1</v>
      </c>
      <c r="H36" s="54">
        <f t="shared" si="5"/>
        <v>320</v>
      </c>
      <c r="I36" s="54">
        <f t="shared" si="13"/>
        <v>1</v>
      </c>
      <c r="J36" s="82"/>
      <c r="K36" s="51">
        <f t="shared" si="12"/>
        <v>10</v>
      </c>
      <c r="L36" s="53">
        <f t="shared" si="10"/>
        <v>49</v>
      </c>
      <c r="M36" s="54">
        <v>9</v>
      </c>
      <c r="N36" s="54"/>
      <c r="O36" s="54"/>
      <c r="P36" s="54">
        <v>1</v>
      </c>
      <c r="Q36" s="54">
        <f t="shared" si="11"/>
        <v>48</v>
      </c>
      <c r="R36" s="54"/>
      <c r="S36" s="82">
        <f t="shared" ref="S36:S43" si="16">S35+P36</f>
        <v>1</v>
      </c>
      <c r="T36" s="51">
        <f t="shared" si="6"/>
        <v>48</v>
      </c>
      <c r="U36" s="53">
        <f t="shared" si="7"/>
        <v>360</v>
      </c>
      <c r="V36" s="54">
        <v>47</v>
      </c>
      <c r="W36" s="54"/>
      <c r="X36" s="54">
        <v>1</v>
      </c>
      <c r="Y36" s="54"/>
      <c r="Z36" s="54">
        <f t="shared" si="8"/>
        <v>358</v>
      </c>
      <c r="AA36" s="53">
        <f t="shared" si="14"/>
        <v>2</v>
      </c>
      <c r="AB36" s="52"/>
      <c r="AC36" s="51">
        <f t="shared" si="0"/>
        <v>92</v>
      </c>
      <c r="AD36" s="53">
        <f t="shared" si="1"/>
        <v>731</v>
      </c>
      <c r="AE36" s="54">
        <f t="shared" si="2"/>
        <v>89</v>
      </c>
      <c r="AF36" s="54"/>
      <c r="AG36" s="54">
        <f t="shared" si="15"/>
        <v>1</v>
      </c>
      <c r="AH36" s="54">
        <f t="shared" ref="AH36:AH59" si="17">G36+P36+Y36</f>
        <v>2</v>
      </c>
      <c r="AI36" s="54">
        <f t="shared" si="9"/>
        <v>726</v>
      </c>
      <c r="AJ36" s="54">
        <f t="shared" ref="AJ36:AJ43" si="18">AJ35+AG36</f>
        <v>3</v>
      </c>
      <c r="AK36" s="54">
        <f>AK35+AH36</f>
        <v>2</v>
      </c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</row>
    <row r="37" spans="1:75" x14ac:dyDescent="0.2">
      <c r="A37" s="17">
        <v>1998</v>
      </c>
      <c r="B37" s="51">
        <f t="shared" si="3"/>
        <v>45</v>
      </c>
      <c r="C37" s="53">
        <f t="shared" si="4"/>
        <v>367</v>
      </c>
      <c r="D37" s="54">
        <v>42</v>
      </c>
      <c r="E37" s="54"/>
      <c r="F37" s="54"/>
      <c r="G37" s="54">
        <v>3</v>
      </c>
      <c r="H37" s="54">
        <f t="shared" si="5"/>
        <v>362</v>
      </c>
      <c r="I37" s="54">
        <f t="shared" si="13"/>
        <v>1</v>
      </c>
      <c r="J37" s="82">
        <f t="shared" ref="J37:J43" si="19">J36+G37</f>
        <v>3</v>
      </c>
      <c r="K37" s="51">
        <f t="shared" si="12"/>
        <v>2</v>
      </c>
      <c r="L37" s="53">
        <f t="shared" si="10"/>
        <v>51</v>
      </c>
      <c r="M37" s="54">
        <v>2</v>
      </c>
      <c r="N37" s="54"/>
      <c r="O37" s="54"/>
      <c r="P37" s="54"/>
      <c r="Q37" s="54">
        <f t="shared" si="11"/>
        <v>50</v>
      </c>
      <c r="R37" s="54"/>
      <c r="S37" s="82">
        <f t="shared" si="16"/>
        <v>1</v>
      </c>
      <c r="T37" s="51">
        <f t="shared" si="6"/>
        <v>58</v>
      </c>
      <c r="U37" s="53">
        <f t="shared" si="7"/>
        <v>418</v>
      </c>
      <c r="V37" s="54">
        <v>52</v>
      </c>
      <c r="W37" s="54"/>
      <c r="X37" s="54">
        <v>5</v>
      </c>
      <c r="Y37" s="54">
        <v>1</v>
      </c>
      <c r="Z37" s="54">
        <f t="shared" si="8"/>
        <v>410</v>
      </c>
      <c r="AA37" s="53">
        <f t="shared" si="14"/>
        <v>7</v>
      </c>
      <c r="AB37" s="52">
        <f>AB36+Y37</f>
        <v>1</v>
      </c>
      <c r="AC37" s="51">
        <f t="shared" si="0"/>
        <v>105</v>
      </c>
      <c r="AD37" s="53">
        <f t="shared" si="1"/>
        <v>836</v>
      </c>
      <c r="AE37" s="54">
        <f t="shared" si="2"/>
        <v>96</v>
      </c>
      <c r="AF37" s="54"/>
      <c r="AG37" s="54">
        <f t="shared" si="15"/>
        <v>5</v>
      </c>
      <c r="AH37" s="54">
        <f t="shared" si="17"/>
        <v>4</v>
      </c>
      <c r="AI37" s="54">
        <f t="shared" si="9"/>
        <v>822</v>
      </c>
      <c r="AJ37" s="54">
        <f t="shared" si="18"/>
        <v>8</v>
      </c>
      <c r="AK37" s="54">
        <f t="shared" ref="AK37:AK43" si="20">AK36+AH37</f>
        <v>6</v>
      </c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</row>
    <row r="38" spans="1:75" x14ac:dyDescent="0.2">
      <c r="A38" s="18">
        <v>1999</v>
      </c>
      <c r="B38" s="55">
        <f t="shared" si="3"/>
        <v>47</v>
      </c>
      <c r="C38" s="57">
        <f t="shared" si="4"/>
        <v>414</v>
      </c>
      <c r="D38" s="58">
        <v>46</v>
      </c>
      <c r="E38" s="58"/>
      <c r="F38" s="58"/>
      <c r="G38" s="58">
        <v>1</v>
      </c>
      <c r="H38" s="58">
        <f t="shared" si="5"/>
        <v>408</v>
      </c>
      <c r="I38" s="58">
        <f t="shared" si="13"/>
        <v>1</v>
      </c>
      <c r="J38" s="83">
        <f t="shared" si="19"/>
        <v>4</v>
      </c>
      <c r="K38" s="55"/>
      <c r="L38" s="57">
        <f t="shared" si="10"/>
        <v>51</v>
      </c>
      <c r="M38" s="58"/>
      <c r="N38" s="58"/>
      <c r="O38" s="58"/>
      <c r="P38" s="58"/>
      <c r="Q38" s="58">
        <f t="shared" si="11"/>
        <v>50</v>
      </c>
      <c r="R38" s="58"/>
      <c r="S38" s="83">
        <f t="shared" si="16"/>
        <v>1</v>
      </c>
      <c r="T38" s="55">
        <f t="shared" si="6"/>
        <v>46</v>
      </c>
      <c r="U38" s="57">
        <f t="shared" si="7"/>
        <v>464</v>
      </c>
      <c r="V38" s="58">
        <v>44</v>
      </c>
      <c r="W38" s="58"/>
      <c r="X38" s="58">
        <v>2</v>
      </c>
      <c r="Y38" s="58"/>
      <c r="Z38" s="58">
        <f t="shared" si="8"/>
        <v>454</v>
      </c>
      <c r="AA38" s="57">
        <f t="shared" si="14"/>
        <v>9</v>
      </c>
      <c r="AB38" s="56">
        <f t="shared" ref="AB38:AB43" si="21">AB37+Y38</f>
        <v>1</v>
      </c>
      <c r="AC38" s="55">
        <f t="shared" si="0"/>
        <v>93</v>
      </c>
      <c r="AD38" s="57">
        <f t="shared" si="1"/>
        <v>929</v>
      </c>
      <c r="AE38" s="58">
        <f t="shared" si="2"/>
        <v>90</v>
      </c>
      <c r="AF38" s="58"/>
      <c r="AG38" s="58">
        <f t="shared" si="15"/>
        <v>2</v>
      </c>
      <c r="AH38" s="58">
        <f t="shared" si="17"/>
        <v>1</v>
      </c>
      <c r="AI38" s="58">
        <f t="shared" si="9"/>
        <v>912</v>
      </c>
      <c r="AJ38" s="58">
        <f t="shared" si="18"/>
        <v>10</v>
      </c>
      <c r="AK38" s="58">
        <f t="shared" si="20"/>
        <v>7</v>
      </c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</row>
    <row r="39" spans="1:75" s="7" customFormat="1" ht="16.5" customHeight="1" x14ac:dyDescent="0.2">
      <c r="A39" s="17">
        <v>2000</v>
      </c>
      <c r="B39" s="51">
        <f t="shared" si="3"/>
        <v>58</v>
      </c>
      <c r="C39" s="53">
        <f t="shared" si="4"/>
        <v>472</v>
      </c>
      <c r="D39" s="54">
        <v>53</v>
      </c>
      <c r="E39" s="54"/>
      <c r="F39" s="54"/>
      <c r="G39" s="54">
        <v>5</v>
      </c>
      <c r="H39" s="54">
        <f t="shared" si="5"/>
        <v>461</v>
      </c>
      <c r="I39" s="54">
        <f t="shared" si="13"/>
        <v>1</v>
      </c>
      <c r="J39" s="82">
        <f t="shared" si="19"/>
        <v>9</v>
      </c>
      <c r="K39" s="51"/>
      <c r="L39" s="53">
        <f t="shared" si="10"/>
        <v>51</v>
      </c>
      <c r="M39" s="54"/>
      <c r="N39" s="54"/>
      <c r="O39" s="54"/>
      <c r="P39" s="54"/>
      <c r="Q39" s="54">
        <f t="shared" si="11"/>
        <v>50</v>
      </c>
      <c r="R39" s="54"/>
      <c r="S39" s="82">
        <f t="shared" si="16"/>
        <v>1</v>
      </c>
      <c r="T39" s="51">
        <f t="shared" si="6"/>
        <v>48</v>
      </c>
      <c r="U39" s="53">
        <f t="shared" si="7"/>
        <v>512</v>
      </c>
      <c r="V39" s="54">
        <v>45</v>
      </c>
      <c r="W39" s="54"/>
      <c r="X39" s="54">
        <v>2</v>
      </c>
      <c r="Y39" s="54">
        <v>1</v>
      </c>
      <c r="Z39" s="54">
        <f t="shared" si="8"/>
        <v>499</v>
      </c>
      <c r="AA39" s="53">
        <f t="shared" si="14"/>
        <v>11</v>
      </c>
      <c r="AB39" s="52">
        <f t="shared" si="21"/>
        <v>2</v>
      </c>
      <c r="AC39" s="51">
        <f t="shared" si="0"/>
        <v>106</v>
      </c>
      <c r="AD39" s="53">
        <f t="shared" si="1"/>
        <v>1035</v>
      </c>
      <c r="AE39" s="54">
        <f t="shared" si="2"/>
        <v>98</v>
      </c>
      <c r="AF39" s="54"/>
      <c r="AG39" s="54">
        <f t="shared" si="15"/>
        <v>2</v>
      </c>
      <c r="AH39" s="54">
        <f t="shared" si="17"/>
        <v>6</v>
      </c>
      <c r="AI39" s="54">
        <f t="shared" si="9"/>
        <v>1010</v>
      </c>
      <c r="AJ39" s="54">
        <f t="shared" si="18"/>
        <v>12</v>
      </c>
      <c r="AK39" s="54">
        <f t="shared" si="20"/>
        <v>13</v>
      </c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</row>
    <row r="40" spans="1:75" x14ac:dyDescent="0.2">
      <c r="A40" s="17">
        <v>2001</v>
      </c>
      <c r="B40" s="51">
        <f t="shared" si="3"/>
        <v>47</v>
      </c>
      <c r="C40" s="53">
        <f t="shared" si="4"/>
        <v>519</v>
      </c>
      <c r="D40" s="54">
        <v>44</v>
      </c>
      <c r="E40" s="54"/>
      <c r="F40" s="54">
        <v>3</v>
      </c>
      <c r="G40" s="54"/>
      <c r="H40" s="54">
        <f t="shared" si="5"/>
        <v>505</v>
      </c>
      <c r="I40" s="54">
        <f t="shared" si="13"/>
        <v>4</v>
      </c>
      <c r="J40" s="82">
        <f t="shared" si="19"/>
        <v>9</v>
      </c>
      <c r="K40" s="51">
        <f t="shared" si="12"/>
        <v>1</v>
      </c>
      <c r="L40" s="53">
        <f t="shared" si="10"/>
        <v>52</v>
      </c>
      <c r="M40" s="54">
        <v>1</v>
      </c>
      <c r="N40" s="54"/>
      <c r="O40" s="54"/>
      <c r="P40" s="54"/>
      <c r="Q40" s="54">
        <f t="shared" si="11"/>
        <v>51</v>
      </c>
      <c r="R40" s="54"/>
      <c r="S40" s="82">
        <f t="shared" si="16"/>
        <v>1</v>
      </c>
      <c r="T40" s="51">
        <f t="shared" si="6"/>
        <v>54</v>
      </c>
      <c r="U40" s="53">
        <f t="shared" si="7"/>
        <v>566</v>
      </c>
      <c r="V40" s="54">
        <v>50</v>
      </c>
      <c r="W40" s="54"/>
      <c r="X40" s="54">
        <v>4</v>
      </c>
      <c r="Y40" s="54"/>
      <c r="Z40" s="54">
        <f t="shared" si="8"/>
        <v>549</v>
      </c>
      <c r="AA40" s="53">
        <f t="shared" si="14"/>
        <v>15</v>
      </c>
      <c r="AB40" s="52">
        <f t="shared" si="21"/>
        <v>2</v>
      </c>
      <c r="AC40" s="51">
        <f t="shared" si="0"/>
        <v>102</v>
      </c>
      <c r="AD40" s="53">
        <f t="shared" si="1"/>
        <v>1137</v>
      </c>
      <c r="AE40" s="54">
        <f t="shared" si="2"/>
        <v>95</v>
      </c>
      <c r="AF40" s="54"/>
      <c r="AG40" s="54">
        <f t="shared" si="15"/>
        <v>7</v>
      </c>
      <c r="AH40" s="54">
        <f t="shared" si="17"/>
        <v>0</v>
      </c>
      <c r="AI40" s="54">
        <f t="shared" si="9"/>
        <v>1105</v>
      </c>
      <c r="AJ40" s="54">
        <f t="shared" si="18"/>
        <v>19</v>
      </c>
      <c r="AK40" s="54">
        <f t="shared" si="20"/>
        <v>13</v>
      </c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</row>
    <row r="41" spans="1:75" x14ac:dyDescent="0.2">
      <c r="A41" s="17">
        <v>2002</v>
      </c>
      <c r="B41" s="51">
        <f t="shared" si="3"/>
        <v>45</v>
      </c>
      <c r="C41" s="53">
        <f t="shared" si="4"/>
        <v>564</v>
      </c>
      <c r="D41" s="54">
        <v>41</v>
      </c>
      <c r="E41" s="54"/>
      <c r="F41" s="54">
        <v>2</v>
      </c>
      <c r="G41" s="54">
        <v>2</v>
      </c>
      <c r="H41" s="54">
        <f t="shared" si="5"/>
        <v>546</v>
      </c>
      <c r="I41" s="54">
        <f t="shared" si="13"/>
        <v>6</v>
      </c>
      <c r="J41" s="82">
        <f t="shared" si="19"/>
        <v>11</v>
      </c>
      <c r="K41" s="51">
        <f t="shared" si="12"/>
        <v>4</v>
      </c>
      <c r="L41" s="53">
        <f t="shared" si="10"/>
        <v>56</v>
      </c>
      <c r="M41" s="54">
        <v>4</v>
      </c>
      <c r="N41" s="54"/>
      <c r="O41" s="54"/>
      <c r="P41" s="54"/>
      <c r="Q41" s="54">
        <f t="shared" si="11"/>
        <v>55</v>
      </c>
      <c r="R41" s="54"/>
      <c r="S41" s="82">
        <f t="shared" si="16"/>
        <v>1</v>
      </c>
      <c r="T41" s="51">
        <f t="shared" si="6"/>
        <v>53</v>
      </c>
      <c r="U41" s="53">
        <f t="shared" si="7"/>
        <v>619</v>
      </c>
      <c r="V41" s="54">
        <v>50</v>
      </c>
      <c r="W41" s="54"/>
      <c r="X41" s="54">
        <v>3</v>
      </c>
      <c r="Y41" s="54"/>
      <c r="Z41" s="54">
        <f t="shared" si="8"/>
        <v>599</v>
      </c>
      <c r="AA41" s="53">
        <f t="shared" si="14"/>
        <v>18</v>
      </c>
      <c r="AB41" s="52">
        <f t="shared" si="21"/>
        <v>2</v>
      </c>
      <c r="AC41" s="51">
        <f t="shared" si="0"/>
        <v>102</v>
      </c>
      <c r="AD41" s="53">
        <f t="shared" si="1"/>
        <v>1239</v>
      </c>
      <c r="AE41" s="54">
        <f t="shared" si="2"/>
        <v>95</v>
      </c>
      <c r="AF41" s="54"/>
      <c r="AG41" s="54">
        <f t="shared" si="15"/>
        <v>5</v>
      </c>
      <c r="AH41" s="54">
        <f t="shared" si="17"/>
        <v>2</v>
      </c>
      <c r="AI41" s="54">
        <f t="shared" si="9"/>
        <v>1200</v>
      </c>
      <c r="AJ41" s="54">
        <f t="shared" si="18"/>
        <v>24</v>
      </c>
      <c r="AK41" s="54">
        <f t="shared" si="20"/>
        <v>15</v>
      </c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</row>
    <row r="42" spans="1:75" x14ac:dyDescent="0.2">
      <c r="A42" s="17">
        <v>2003</v>
      </c>
      <c r="B42" s="51">
        <f t="shared" si="3"/>
        <v>50</v>
      </c>
      <c r="C42" s="53">
        <f t="shared" si="4"/>
        <v>614</v>
      </c>
      <c r="D42" s="54">
        <v>44</v>
      </c>
      <c r="E42" s="54"/>
      <c r="F42" s="54">
        <v>1</v>
      </c>
      <c r="G42" s="54">
        <v>5</v>
      </c>
      <c r="H42" s="54">
        <f t="shared" si="5"/>
        <v>590</v>
      </c>
      <c r="I42" s="54">
        <f t="shared" si="13"/>
        <v>7</v>
      </c>
      <c r="J42" s="82">
        <f t="shared" si="19"/>
        <v>16</v>
      </c>
      <c r="K42" s="51">
        <f t="shared" si="12"/>
        <v>8</v>
      </c>
      <c r="L42" s="53">
        <f t="shared" si="10"/>
        <v>64</v>
      </c>
      <c r="M42" s="54">
        <v>8</v>
      </c>
      <c r="N42" s="54"/>
      <c r="O42" s="54"/>
      <c r="P42" s="54"/>
      <c r="Q42" s="54">
        <f t="shared" si="11"/>
        <v>63</v>
      </c>
      <c r="R42" s="54"/>
      <c r="S42" s="82">
        <f t="shared" si="16"/>
        <v>1</v>
      </c>
      <c r="T42" s="51">
        <f t="shared" si="6"/>
        <v>69</v>
      </c>
      <c r="U42" s="53">
        <f t="shared" si="7"/>
        <v>688</v>
      </c>
      <c r="V42" s="54">
        <v>63</v>
      </c>
      <c r="W42" s="54"/>
      <c r="X42" s="54">
        <v>4</v>
      </c>
      <c r="Y42" s="54">
        <v>2</v>
      </c>
      <c r="Z42" s="54">
        <f t="shared" si="8"/>
        <v>662</v>
      </c>
      <c r="AA42" s="53">
        <f t="shared" si="14"/>
        <v>22</v>
      </c>
      <c r="AB42" s="52">
        <f t="shared" si="21"/>
        <v>4</v>
      </c>
      <c r="AC42" s="51">
        <f t="shared" si="0"/>
        <v>127</v>
      </c>
      <c r="AD42" s="53">
        <f t="shared" si="1"/>
        <v>1366</v>
      </c>
      <c r="AE42" s="54">
        <f t="shared" si="2"/>
        <v>115</v>
      </c>
      <c r="AF42" s="54"/>
      <c r="AG42" s="54">
        <f t="shared" si="15"/>
        <v>5</v>
      </c>
      <c r="AH42" s="54">
        <f t="shared" si="17"/>
        <v>7</v>
      </c>
      <c r="AI42" s="54">
        <f t="shared" si="9"/>
        <v>1315</v>
      </c>
      <c r="AJ42" s="54">
        <f t="shared" si="18"/>
        <v>29</v>
      </c>
      <c r="AK42" s="54">
        <f t="shared" si="20"/>
        <v>22</v>
      </c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</row>
    <row r="43" spans="1:75" x14ac:dyDescent="0.2">
      <c r="A43" s="17">
        <v>2004</v>
      </c>
      <c r="B43" s="51">
        <f t="shared" si="3"/>
        <v>52</v>
      </c>
      <c r="C43" s="53">
        <f t="shared" si="4"/>
        <v>666</v>
      </c>
      <c r="D43" s="128">
        <v>47</v>
      </c>
      <c r="E43" s="128"/>
      <c r="F43" s="54">
        <v>2</v>
      </c>
      <c r="G43" s="54">
        <f>3+0</f>
        <v>3</v>
      </c>
      <c r="H43" s="54">
        <f t="shared" si="5"/>
        <v>637</v>
      </c>
      <c r="I43" s="54">
        <f t="shared" si="13"/>
        <v>9</v>
      </c>
      <c r="J43" s="82">
        <f t="shared" si="19"/>
        <v>19</v>
      </c>
      <c r="K43" s="51">
        <f t="shared" si="12"/>
        <v>11</v>
      </c>
      <c r="L43" s="53">
        <f t="shared" si="10"/>
        <v>75</v>
      </c>
      <c r="M43" s="54">
        <v>11</v>
      </c>
      <c r="N43" s="54"/>
      <c r="O43" s="54">
        <f>0+0</f>
        <v>0</v>
      </c>
      <c r="P43" s="54">
        <f>0+0</f>
        <v>0</v>
      </c>
      <c r="Q43" s="54">
        <f t="shared" si="11"/>
        <v>74</v>
      </c>
      <c r="R43" s="54"/>
      <c r="S43" s="82">
        <f t="shared" si="16"/>
        <v>1</v>
      </c>
      <c r="T43" s="51">
        <f t="shared" si="6"/>
        <v>70</v>
      </c>
      <c r="U43" s="53">
        <f t="shared" si="7"/>
        <v>758</v>
      </c>
      <c r="V43" s="54">
        <v>60</v>
      </c>
      <c r="W43" s="54"/>
      <c r="X43" s="54">
        <v>7</v>
      </c>
      <c r="Y43" s="54">
        <v>3</v>
      </c>
      <c r="Z43" s="54">
        <f t="shared" si="8"/>
        <v>722</v>
      </c>
      <c r="AA43" s="53">
        <f t="shared" si="14"/>
        <v>29</v>
      </c>
      <c r="AB43" s="52">
        <f t="shared" si="21"/>
        <v>7</v>
      </c>
      <c r="AC43" s="51">
        <f t="shared" si="0"/>
        <v>133</v>
      </c>
      <c r="AD43" s="53">
        <f t="shared" si="1"/>
        <v>1499</v>
      </c>
      <c r="AE43" s="54">
        <f t="shared" si="2"/>
        <v>118</v>
      </c>
      <c r="AF43" s="54"/>
      <c r="AG43" s="54">
        <f t="shared" si="15"/>
        <v>9</v>
      </c>
      <c r="AH43" s="54">
        <f t="shared" si="17"/>
        <v>6</v>
      </c>
      <c r="AI43" s="54">
        <f t="shared" si="9"/>
        <v>1433</v>
      </c>
      <c r="AJ43" s="54">
        <f t="shared" si="18"/>
        <v>38</v>
      </c>
      <c r="AK43" s="54">
        <f t="shared" si="20"/>
        <v>28</v>
      </c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</row>
    <row r="44" spans="1:75" s="67" customFormat="1" x14ac:dyDescent="0.2">
      <c r="A44" s="17">
        <v>2005</v>
      </c>
      <c r="B44" s="51">
        <f t="shared" ref="B44:B49" si="22">D44+F44+G44</f>
        <v>60</v>
      </c>
      <c r="C44" s="53">
        <f t="shared" ref="C44:C49" si="23">C43+B44</f>
        <v>726</v>
      </c>
      <c r="D44" s="54">
        <f>12+12+12+17</f>
        <v>53</v>
      </c>
      <c r="E44" s="54"/>
      <c r="F44" s="54">
        <f>0+0+0+0</f>
        <v>0</v>
      </c>
      <c r="G44" s="54">
        <f>0+2+2+3</f>
        <v>7</v>
      </c>
      <c r="H44" s="54">
        <f t="shared" ref="H44:H58" si="24">H43+D44</f>
        <v>690</v>
      </c>
      <c r="I44" s="54">
        <f t="shared" ref="I44:I59" si="25">I43+F44</f>
        <v>9</v>
      </c>
      <c r="J44" s="82">
        <f t="shared" ref="J44:J59" si="26">J43+G44</f>
        <v>26</v>
      </c>
      <c r="K44" s="51">
        <f t="shared" ref="K44:K49" si="27">M44+O44+P44</f>
        <v>8</v>
      </c>
      <c r="L44" s="53">
        <f t="shared" ref="L44:L59" si="28">L43+K44</f>
        <v>83</v>
      </c>
      <c r="M44" s="62">
        <f>4+1+2+1</f>
        <v>8</v>
      </c>
      <c r="N44" s="62"/>
      <c r="O44" s="62">
        <f>0+0</f>
        <v>0</v>
      </c>
      <c r="P44" s="62">
        <f>0+0</f>
        <v>0</v>
      </c>
      <c r="Q44" s="54">
        <f t="shared" ref="Q44:Q49" si="29">Q43+M44</f>
        <v>82</v>
      </c>
      <c r="R44" s="54"/>
      <c r="S44" s="82">
        <f t="shared" ref="S44:S49" si="30">S43+P44</f>
        <v>1</v>
      </c>
      <c r="T44" s="51">
        <f t="shared" ref="T44:T49" si="31">V44+X44+Y44</f>
        <v>67</v>
      </c>
      <c r="U44" s="53">
        <f t="shared" ref="U44:U49" si="32">U43+T44</f>
        <v>825</v>
      </c>
      <c r="V44" s="138">
        <f>11+21+14+18</f>
        <v>64</v>
      </c>
      <c r="W44" s="138"/>
      <c r="X44" s="138">
        <f>1+0+0+2</f>
        <v>3</v>
      </c>
      <c r="Y44" s="62">
        <f>0+0+0</f>
        <v>0</v>
      </c>
      <c r="Z44" s="54">
        <f t="shared" ref="Z44:Z58" si="33">Z43+V44</f>
        <v>786</v>
      </c>
      <c r="AA44" s="53">
        <f t="shared" ref="AA44:AA59" si="34">AA43+X44</f>
        <v>32</v>
      </c>
      <c r="AB44" s="52">
        <f t="shared" ref="AB44:AB59" si="35">AB43+Y44</f>
        <v>7</v>
      </c>
      <c r="AC44" s="51">
        <f t="shared" si="0"/>
        <v>135</v>
      </c>
      <c r="AD44" s="53">
        <f t="shared" si="1"/>
        <v>1634</v>
      </c>
      <c r="AE44" s="54">
        <f t="shared" si="2"/>
        <v>125</v>
      </c>
      <c r="AF44" s="54"/>
      <c r="AG44" s="54">
        <f t="shared" si="15"/>
        <v>3</v>
      </c>
      <c r="AH44" s="54">
        <f t="shared" si="17"/>
        <v>7</v>
      </c>
      <c r="AI44" s="54">
        <f t="shared" ref="AI44:AI58" si="36">AI43+AE44</f>
        <v>1558</v>
      </c>
      <c r="AJ44" s="54">
        <f t="shared" ref="AJ44:AJ59" si="37">AJ43+AG44</f>
        <v>41</v>
      </c>
      <c r="AK44" s="54">
        <f t="shared" ref="AK44:AK59" si="38">AK43+AH44</f>
        <v>35</v>
      </c>
    </row>
    <row r="45" spans="1:75" s="67" customFormat="1" x14ac:dyDescent="0.2">
      <c r="A45" s="17">
        <v>2006</v>
      </c>
      <c r="B45" s="51">
        <f t="shared" si="22"/>
        <v>59</v>
      </c>
      <c r="C45" s="53">
        <f t="shared" si="23"/>
        <v>785</v>
      </c>
      <c r="D45" s="54">
        <f>17+11+14+11</f>
        <v>53</v>
      </c>
      <c r="E45" s="54"/>
      <c r="F45" s="54">
        <f>2+1+0+0</f>
        <v>3</v>
      </c>
      <c r="G45" s="54">
        <f>1+0+1+1</f>
        <v>3</v>
      </c>
      <c r="H45" s="54">
        <f t="shared" si="24"/>
        <v>743</v>
      </c>
      <c r="I45" s="54">
        <f t="shared" si="25"/>
        <v>12</v>
      </c>
      <c r="J45" s="82">
        <f t="shared" si="26"/>
        <v>29</v>
      </c>
      <c r="K45" s="51">
        <f t="shared" si="27"/>
        <v>8</v>
      </c>
      <c r="L45" s="53">
        <f t="shared" si="28"/>
        <v>91</v>
      </c>
      <c r="M45" s="62">
        <f>2+2+0+4</f>
        <v>8</v>
      </c>
      <c r="N45" s="62"/>
      <c r="O45" s="62">
        <f>0+0+0</f>
        <v>0</v>
      </c>
      <c r="P45" s="62">
        <f>0+0+0</f>
        <v>0</v>
      </c>
      <c r="Q45" s="54">
        <f t="shared" si="29"/>
        <v>90</v>
      </c>
      <c r="R45" s="54"/>
      <c r="S45" s="82">
        <f t="shared" si="30"/>
        <v>1</v>
      </c>
      <c r="T45" s="51">
        <f t="shared" si="31"/>
        <v>60</v>
      </c>
      <c r="U45" s="53">
        <f t="shared" si="32"/>
        <v>885</v>
      </c>
      <c r="V45" s="138">
        <f>15+12+7+22</f>
        <v>56</v>
      </c>
      <c r="W45" s="138"/>
      <c r="X45" s="138">
        <f>2+0+0+1</f>
        <v>3</v>
      </c>
      <c r="Y45" s="62">
        <f>0+0+1+0</f>
        <v>1</v>
      </c>
      <c r="Z45" s="54">
        <f t="shared" si="33"/>
        <v>842</v>
      </c>
      <c r="AA45" s="53">
        <f t="shared" si="34"/>
        <v>35</v>
      </c>
      <c r="AB45" s="52">
        <f t="shared" si="35"/>
        <v>8</v>
      </c>
      <c r="AC45" s="51">
        <f t="shared" si="0"/>
        <v>127</v>
      </c>
      <c r="AD45" s="53">
        <f t="shared" si="1"/>
        <v>1761</v>
      </c>
      <c r="AE45" s="54">
        <f t="shared" si="2"/>
        <v>117</v>
      </c>
      <c r="AF45" s="54"/>
      <c r="AG45" s="54">
        <f t="shared" si="15"/>
        <v>6</v>
      </c>
      <c r="AH45" s="54">
        <f t="shared" si="17"/>
        <v>4</v>
      </c>
      <c r="AI45" s="54">
        <f t="shared" si="36"/>
        <v>1675</v>
      </c>
      <c r="AJ45" s="54">
        <f t="shared" si="37"/>
        <v>47</v>
      </c>
      <c r="AK45" s="54">
        <f t="shared" si="38"/>
        <v>39</v>
      </c>
    </row>
    <row r="46" spans="1:75" s="67" customFormat="1" x14ac:dyDescent="0.2">
      <c r="A46" s="17">
        <v>2007</v>
      </c>
      <c r="B46" s="51">
        <f t="shared" si="22"/>
        <v>52</v>
      </c>
      <c r="C46" s="53">
        <f t="shared" si="23"/>
        <v>837</v>
      </c>
      <c r="D46" s="54">
        <f>12+13+10+10</f>
        <v>45</v>
      </c>
      <c r="E46" s="54"/>
      <c r="F46" s="54">
        <f>2+1+0+0</f>
        <v>3</v>
      </c>
      <c r="G46" s="54">
        <f>3+0+1+0</f>
        <v>4</v>
      </c>
      <c r="H46" s="54">
        <f t="shared" si="24"/>
        <v>788</v>
      </c>
      <c r="I46" s="54">
        <f t="shared" si="25"/>
        <v>15</v>
      </c>
      <c r="J46" s="82">
        <f t="shared" si="26"/>
        <v>33</v>
      </c>
      <c r="K46" s="51">
        <f t="shared" si="27"/>
        <v>9</v>
      </c>
      <c r="L46" s="53">
        <f t="shared" si="28"/>
        <v>100</v>
      </c>
      <c r="M46" s="62">
        <f>3+1+2+3</f>
        <v>9</v>
      </c>
      <c r="N46" s="62"/>
      <c r="O46" s="62">
        <f>0+0+0+0</f>
        <v>0</v>
      </c>
      <c r="P46" s="62">
        <f>0+0+0+0</f>
        <v>0</v>
      </c>
      <c r="Q46" s="54">
        <f t="shared" si="29"/>
        <v>99</v>
      </c>
      <c r="R46" s="54"/>
      <c r="S46" s="82">
        <f t="shared" si="30"/>
        <v>1</v>
      </c>
      <c r="T46" s="51">
        <f t="shared" si="31"/>
        <v>75</v>
      </c>
      <c r="U46" s="53">
        <f t="shared" si="32"/>
        <v>960</v>
      </c>
      <c r="V46" s="138">
        <f>24+14+19+17</f>
        <v>74</v>
      </c>
      <c r="W46" s="138"/>
      <c r="X46" s="138">
        <f>1+0+0+0</f>
        <v>1</v>
      </c>
      <c r="Y46" s="62">
        <f>0+0+0+0</f>
        <v>0</v>
      </c>
      <c r="Z46" s="54">
        <f t="shared" si="33"/>
        <v>916</v>
      </c>
      <c r="AA46" s="53">
        <f t="shared" si="34"/>
        <v>36</v>
      </c>
      <c r="AB46" s="52">
        <f t="shared" si="35"/>
        <v>8</v>
      </c>
      <c r="AC46" s="51">
        <f t="shared" si="0"/>
        <v>136</v>
      </c>
      <c r="AD46" s="53">
        <f t="shared" si="1"/>
        <v>1897</v>
      </c>
      <c r="AE46" s="54">
        <f t="shared" si="2"/>
        <v>128</v>
      </c>
      <c r="AF46" s="54"/>
      <c r="AG46" s="54">
        <f t="shared" si="15"/>
        <v>4</v>
      </c>
      <c r="AH46" s="54">
        <f t="shared" si="17"/>
        <v>4</v>
      </c>
      <c r="AI46" s="54">
        <f t="shared" si="36"/>
        <v>1803</v>
      </c>
      <c r="AJ46" s="54">
        <f t="shared" si="37"/>
        <v>51</v>
      </c>
      <c r="AK46" s="54">
        <f t="shared" si="38"/>
        <v>43</v>
      </c>
    </row>
    <row r="47" spans="1:75" s="67" customFormat="1" x14ac:dyDescent="0.2">
      <c r="A47" s="17">
        <v>2008</v>
      </c>
      <c r="B47" s="51">
        <f t="shared" si="22"/>
        <v>58</v>
      </c>
      <c r="C47" s="53">
        <f t="shared" si="23"/>
        <v>895</v>
      </c>
      <c r="D47" s="54">
        <f>15+13+13+11</f>
        <v>52</v>
      </c>
      <c r="E47" s="54"/>
      <c r="F47" s="54">
        <f>1+0+0+1</f>
        <v>2</v>
      </c>
      <c r="G47" s="54">
        <f>0+2+0+2</f>
        <v>4</v>
      </c>
      <c r="H47" s="54">
        <f t="shared" si="24"/>
        <v>840</v>
      </c>
      <c r="I47" s="54">
        <f t="shared" si="25"/>
        <v>17</v>
      </c>
      <c r="J47" s="82">
        <f t="shared" si="26"/>
        <v>37</v>
      </c>
      <c r="K47" s="51">
        <f t="shared" si="27"/>
        <v>13</v>
      </c>
      <c r="L47" s="53">
        <f t="shared" si="28"/>
        <v>113</v>
      </c>
      <c r="M47" s="62">
        <f>4+3+2+4</f>
        <v>13</v>
      </c>
      <c r="N47" s="62"/>
      <c r="O47" s="62">
        <f>0</f>
        <v>0</v>
      </c>
      <c r="P47" s="62">
        <f>0</f>
        <v>0</v>
      </c>
      <c r="Q47" s="54">
        <f t="shared" si="29"/>
        <v>112</v>
      </c>
      <c r="R47" s="54"/>
      <c r="S47" s="82">
        <f t="shared" si="30"/>
        <v>1</v>
      </c>
      <c r="T47" s="51">
        <f t="shared" si="31"/>
        <v>76</v>
      </c>
      <c r="U47" s="53">
        <f t="shared" si="32"/>
        <v>1036</v>
      </c>
      <c r="V47" s="138">
        <f>16+13+19+20</f>
        <v>68</v>
      </c>
      <c r="W47" s="138"/>
      <c r="X47" s="138">
        <f>1+1+1+2</f>
        <v>5</v>
      </c>
      <c r="Y47" s="62">
        <f>1+0+0+2</f>
        <v>3</v>
      </c>
      <c r="Z47" s="54">
        <f t="shared" si="33"/>
        <v>984</v>
      </c>
      <c r="AA47" s="53">
        <f t="shared" si="34"/>
        <v>41</v>
      </c>
      <c r="AB47" s="52">
        <f t="shared" si="35"/>
        <v>11</v>
      </c>
      <c r="AC47" s="51">
        <f t="shared" si="0"/>
        <v>147</v>
      </c>
      <c r="AD47" s="53">
        <f t="shared" si="1"/>
        <v>2044</v>
      </c>
      <c r="AE47" s="54">
        <f t="shared" si="2"/>
        <v>133</v>
      </c>
      <c r="AF47" s="54"/>
      <c r="AG47" s="54">
        <f t="shared" si="15"/>
        <v>7</v>
      </c>
      <c r="AH47" s="54">
        <f t="shared" si="17"/>
        <v>7</v>
      </c>
      <c r="AI47" s="54">
        <f t="shared" si="36"/>
        <v>1936</v>
      </c>
      <c r="AJ47" s="54">
        <f t="shared" si="37"/>
        <v>58</v>
      </c>
      <c r="AK47" s="54">
        <f t="shared" si="38"/>
        <v>50</v>
      </c>
    </row>
    <row r="48" spans="1:75" s="67" customFormat="1" x14ac:dyDescent="0.2">
      <c r="A48" s="17">
        <v>2009</v>
      </c>
      <c r="B48" s="51">
        <f t="shared" si="22"/>
        <v>46</v>
      </c>
      <c r="C48" s="53">
        <f t="shared" si="23"/>
        <v>941</v>
      </c>
      <c r="D48" s="54">
        <f>8+13+11+9</f>
        <v>41</v>
      </c>
      <c r="E48" s="54"/>
      <c r="F48" s="54">
        <f>0+0+0+0</f>
        <v>0</v>
      </c>
      <c r="G48" s="54">
        <f>2+0+1+2</f>
        <v>5</v>
      </c>
      <c r="H48" s="54">
        <f t="shared" si="24"/>
        <v>881</v>
      </c>
      <c r="I48" s="54">
        <f t="shared" si="25"/>
        <v>17</v>
      </c>
      <c r="J48" s="82">
        <f t="shared" si="26"/>
        <v>42</v>
      </c>
      <c r="K48" s="51">
        <f t="shared" si="27"/>
        <v>11</v>
      </c>
      <c r="L48" s="53">
        <f t="shared" si="28"/>
        <v>124</v>
      </c>
      <c r="M48" s="62">
        <f>2+0+3+5</f>
        <v>10</v>
      </c>
      <c r="N48" s="62"/>
      <c r="O48" s="62">
        <f>0+0+0</f>
        <v>0</v>
      </c>
      <c r="P48" s="62">
        <f>0+1+0+0</f>
        <v>1</v>
      </c>
      <c r="Q48" s="54">
        <f t="shared" si="29"/>
        <v>122</v>
      </c>
      <c r="R48" s="54"/>
      <c r="S48" s="82">
        <f t="shared" si="30"/>
        <v>2</v>
      </c>
      <c r="T48" s="51">
        <f t="shared" si="31"/>
        <v>89</v>
      </c>
      <c r="U48" s="53">
        <f t="shared" si="32"/>
        <v>1125</v>
      </c>
      <c r="V48" s="138">
        <f>18+28+18+22</f>
        <v>86</v>
      </c>
      <c r="W48" s="138"/>
      <c r="X48" s="138">
        <f>0+1+0+1</f>
        <v>2</v>
      </c>
      <c r="Y48" s="138">
        <f>0+0+0+1</f>
        <v>1</v>
      </c>
      <c r="Z48" s="54">
        <f t="shared" si="33"/>
        <v>1070</v>
      </c>
      <c r="AA48" s="53">
        <f t="shared" si="34"/>
        <v>43</v>
      </c>
      <c r="AB48" s="52">
        <f t="shared" si="35"/>
        <v>12</v>
      </c>
      <c r="AC48" s="51">
        <f t="shared" si="0"/>
        <v>146</v>
      </c>
      <c r="AD48" s="53">
        <f t="shared" si="1"/>
        <v>2190</v>
      </c>
      <c r="AE48" s="54">
        <f t="shared" si="2"/>
        <v>137</v>
      </c>
      <c r="AF48" s="54"/>
      <c r="AG48" s="54">
        <f t="shared" si="15"/>
        <v>2</v>
      </c>
      <c r="AH48" s="54">
        <f t="shared" si="17"/>
        <v>7</v>
      </c>
      <c r="AI48" s="54">
        <f t="shared" si="36"/>
        <v>2073</v>
      </c>
      <c r="AJ48" s="54">
        <f t="shared" si="37"/>
        <v>60</v>
      </c>
      <c r="AK48" s="54">
        <f t="shared" si="38"/>
        <v>57</v>
      </c>
    </row>
    <row r="49" spans="1:75" s="67" customFormat="1" x14ac:dyDescent="0.2">
      <c r="A49" s="17">
        <v>2010</v>
      </c>
      <c r="B49" s="51">
        <f t="shared" si="22"/>
        <v>54</v>
      </c>
      <c r="C49" s="53">
        <f t="shared" si="23"/>
        <v>995</v>
      </c>
      <c r="D49" s="54">
        <f>11+10+13+11</f>
        <v>45</v>
      </c>
      <c r="E49" s="54"/>
      <c r="F49" s="54">
        <f>1+0+0+2</f>
        <v>3</v>
      </c>
      <c r="G49" s="54">
        <f>4+1+1+0</f>
        <v>6</v>
      </c>
      <c r="H49" s="54">
        <f t="shared" si="24"/>
        <v>926</v>
      </c>
      <c r="I49" s="54">
        <f t="shared" si="25"/>
        <v>20</v>
      </c>
      <c r="J49" s="82">
        <f t="shared" si="26"/>
        <v>48</v>
      </c>
      <c r="K49" s="51">
        <f t="shared" si="27"/>
        <v>3</v>
      </c>
      <c r="L49" s="53">
        <f t="shared" si="28"/>
        <v>127</v>
      </c>
      <c r="M49" s="62">
        <f>1+2+0+0</f>
        <v>3</v>
      </c>
      <c r="N49" s="62"/>
      <c r="O49" s="62">
        <f t="shared" ref="O49:O60" si="39">0+0</f>
        <v>0</v>
      </c>
      <c r="P49" s="62">
        <f>0</f>
        <v>0</v>
      </c>
      <c r="Q49" s="54">
        <f t="shared" si="29"/>
        <v>125</v>
      </c>
      <c r="R49" s="54"/>
      <c r="S49" s="82">
        <f t="shared" si="30"/>
        <v>2</v>
      </c>
      <c r="T49" s="51">
        <f t="shared" si="31"/>
        <v>80</v>
      </c>
      <c r="U49" s="53">
        <f t="shared" si="32"/>
        <v>1205</v>
      </c>
      <c r="V49" s="138">
        <f>8+19+28+19</f>
        <v>74</v>
      </c>
      <c r="W49" s="138"/>
      <c r="X49" s="138">
        <f>2+1+1+1</f>
        <v>5</v>
      </c>
      <c r="Y49" s="138">
        <f>0+1+0+0</f>
        <v>1</v>
      </c>
      <c r="Z49" s="54">
        <f t="shared" si="33"/>
        <v>1144</v>
      </c>
      <c r="AA49" s="53">
        <f t="shared" si="34"/>
        <v>48</v>
      </c>
      <c r="AB49" s="52">
        <f t="shared" si="35"/>
        <v>13</v>
      </c>
      <c r="AC49" s="51">
        <f t="shared" si="0"/>
        <v>137</v>
      </c>
      <c r="AD49" s="53">
        <f t="shared" si="1"/>
        <v>2327</v>
      </c>
      <c r="AE49" s="54">
        <f t="shared" si="2"/>
        <v>122</v>
      </c>
      <c r="AF49" s="54"/>
      <c r="AG49" s="54">
        <f t="shared" si="15"/>
        <v>8</v>
      </c>
      <c r="AH49" s="54">
        <f t="shared" si="17"/>
        <v>7</v>
      </c>
      <c r="AI49" s="54">
        <f t="shared" si="36"/>
        <v>2195</v>
      </c>
      <c r="AJ49" s="54">
        <f t="shared" si="37"/>
        <v>68</v>
      </c>
      <c r="AK49" s="54">
        <f t="shared" si="38"/>
        <v>64</v>
      </c>
    </row>
    <row r="50" spans="1:75" s="165" customFormat="1" x14ac:dyDescent="0.2">
      <c r="A50" s="157">
        <v>2011</v>
      </c>
      <c r="B50" s="161">
        <f t="shared" ref="B50:B55" si="40">D50+F50+G50</f>
        <v>73</v>
      </c>
      <c r="C50" s="126">
        <f t="shared" ref="C50:C55" si="41">C49+B50</f>
        <v>1068</v>
      </c>
      <c r="D50" s="133">
        <f>13+24+19+15</f>
        <v>71</v>
      </c>
      <c r="E50" s="133"/>
      <c r="F50" s="133">
        <f>0+0+0</f>
        <v>0</v>
      </c>
      <c r="G50" s="133">
        <f>1+0+1</f>
        <v>2</v>
      </c>
      <c r="H50" s="133">
        <f t="shared" si="24"/>
        <v>997</v>
      </c>
      <c r="I50" s="133">
        <f t="shared" si="25"/>
        <v>20</v>
      </c>
      <c r="J50" s="168">
        <f t="shared" si="26"/>
        <v>50</v>
      </c>
      <c r="K50" s="161">
        <f t="shared" ref="K50:K55" si="42">M50+O50+P50</f>
        <v>0</v>
      </c>
      <c r="L50" s="53">
        <f t="shared" si="28"/>
        <v>127</v>
      </c>
      <c r="M50" s="169"/>
      <c r="N50" s="169"/>
      <c r="O50" s="169">
        <f t="shared" si="39"/>
        <v>0</v>
      </c>
      <c r="P50" s="169">
        <f>0</f>
        <v>0</v>
      </c>
      <c r="Q50" s="133">
        <f t="shared" ref="Q50:Q55" si="43">Q49+M50</f>
        <v>125</v>
      </c>
      <c r="R50" s="133"/>
      <c r="S50" s="168">
        <f t="shared" ref="S50:S55" si="44">S49+P50</f>
        <v>2</v>
      </c>
      <c r="T50" s="161">
        <f t="shared" ref="T50:T55" si="45">V50+X50+Y50</f>
        <v>83</v>
      </c>
      <c r="U50" s="126">
        <f t="shared" ref="U50:U55" si="46">U49+T50</f>
        <v>1288</v>
      </c>
      <c r="V50" s="136">
        <f>24+25+20+9</f>
        <v>78</v>
      </c>
      <c r="W50" s="136"/>
      <c r="X50" s="136">
        <f>3+1+0</f>
        <v>4</v>
      </c>
      <c r="Y50" s="136">
        <f>0+1+0</f>
        <v>1</v>
      </c>
      <c r="Z50" s="133">
        <f t="shared" si="33"/>
        <v>1222</v>
      </c>
      <c r="AA50" s="126">
        <f t="shared" si="34"/>
        <v>52</v>
      </c>
      <c r="AB50" s="127">
        <f t="shared" si="35"/>
        <v>14</v>
      </c>
      <c r="AC50" s="161">
        <f t="shared" si="0"/>
        <v>156</v>
      </c>
      <c r="AD50" s="126">
        <f t="shared" si="1"/>
        <v>2483</v>
      </c>
      <c r="AE50" s="133">
        <f t="shared" si="2"/>
        <v>149</v>
      </c>
      <c r="AF50" s="133"/>
      <c r="AG50" s="133">
        <f t="shared" si="15"/>
        <v>4</v>
      </c>
      <c r="AH50" s="133">
        <f t="shared" si="17"/>
        <v>3</v>
      </c>
      <c r="AI50" s="133">
        <f t="shared" si="36"/>
        <v>2344</v>
      </c>
      <c r="AJ50" s="133">
        <f t="shared" si="37"/>
        <v>72</v>
      </c>
      <c r="AK50" s="133">
        <f t="shared" si="38"/>
        <v>67</v>
      </c>
    </row>
    <row r="51" spans="1:75" s="165" customFormat="1" x14ac:dyDescent="0.2">
      <c r="A51" s="157">
        <v>2012</v>
      </c>
      <c r="B51" s="161">
        <f t="shared" si="40"/>
        <v>74</v>
      </c>
      <c r="C51" s="126">
        <f t="shared" si="41"/>
        <v>1142</v>
      </c>
      <c r="D51" s="133">
        <f>11+17+16+24</f>
        <v>68</v>
      </c>
      <c r="E51" s="133"/>
      <c r="F51" s="133">
        <f>0+1+1+1</f>
        <v>3</v>
      </c>
      <c r="G51" s="133">
        <f>0+1+1+1</f>
        <v>3</v>
      </c>
      <c r="H51" s="133">
        <f t="shared" si="24"/>
        <v>1065</v>
      </c>
      <c r="I51" s="133">
        <f t="shared" si="25"/>
        <v>23</v>
      </c>
      <c r="J51" s="168">
        <f t="shared" si="26"/>
        <v>53</v>
      </c>
      <c r="K51" s="161">
        <f t="shared" si="42"/>
        <v>0</v>
      </c>
      <c r="L51" s="53">
        <f t="shared" si="28"/>
        <v>127</v>
      </c>
      <c r="M51" s="169"/>
      <c r="N51" s="169"/>
      <c r="O51" s="169">
        <f t="shared" si="39"/>
        <v>0</v>
      </c>
      <c r="P51" s="169">
        <f>0</f>
        <v>0</v>
      </c>
      <c r="Q51" s="133">
        <f t="shared" si="43"/>
        <v>125</v>
      </c>
      <c r="R51" s="133"/>
      <c r="S51" s="168">
        <f t="shared" si="44"/>
        <v>2</v>
      </c>
      <c r="T51" s="161">
        <f t="shared" si="45"/>
        <v>79</v>
      </c>
      <c r="U51" s="126">
        <f t="shared" si="46"/>
        <v>1367</v>
      </c>
      <c r="V51" s="136">
        <f>20+11+23+20</f>
        <v>74</v>
      </c>
      <c r="W51" s="136"/>
      <c r="X51" s="136">
        <f>0+1+1+2</f>
        <v>4</v>
      </c>
      <c r="Y51" s="136">
        <f>0+1+0+0</f>
        <v>1</v>
      </c>
      <c r="Z51" s="133">
        <f t="shared" si="33"/>
        <v>1296</v>
      </c>
      <c r="AA51" s="126">
        <f t="shared" si="34"/>
        <v>56</v>
      </c>
      <c r="AB51" s="127">
        <f t="shared" si="35"/>
        <v>15</v>
      </c>
      <c r="AC51" s="161">
        <f t="shared" si="0"/>
        <v>153</v>
      </c>
      <c r="AD51" s="126">
        <f t="shared" si="1"/>
        <v>2636</v>
      </c>
      <c r="AE51" s="133">
        <f t="shared" si="2"/>
        <v>142</v>
      </c>
      <c r="AF51" s="133"/>
      <c r="AG51" s="133">
        <f t="shared" si="15"/>
        <v>7</v>
      </c>
      <c r="AH51" s="133">
        <f t="shared" si="17"/>
        <v>4</v>
      </c>
      <c r="AI51" s="133">
        <f t="shared" si="36"/>
        <v>2486</v>
      </c>
      <c r="AJ51" s="133">
        <f t="shared" si="37"/>
        <v>79</v>
      </c>
      <c r="AK51" s="133">
        <f t="shared" si="38"/>
        <v>71</v>
      </c>
    </row>
    <row r="52" spans="1:75" s="187" customFormat="1" x14ac:dyDescent="0.2">
      <c r="A52" s="154">
        <v>2013</v>
      </c>
      <c r="B52" s="163">
        <f t="shared" si="40"/>
        <v>80</v>
      </c>
      <c r="C52" s="155">
        <f t="shared" si="41"/>
        <v>1222</v>
      </c>
      <c r="D52" s="141">
        <f>9+20+19+24</f>
        <v>72</v>
      </c>
      <c r="E52" s="141"/>
      <c r="F52" s="141">
        <f>2+0+0+0</f>
        <v>2</v>
      </c>
      <c r="G52" s="141">
        <f>1+2+1+2</f>
        <v>6</v>
      </c>
      <c r="H52" s="141">
        <f t="shared" si="24"/>
        <v>1137</v>
      </c>
      <c r="I52" s="141">
        <f t="shared" si="25"/>
        <v>25</v>
      </c>
      <c r="J52" s="212">
        <f t="shared" si="26"/>
        <v>59</v>
      </c>
      <c r="K52" s="163">
        <f t="shared" si="42"/>
        <v>0</v>
      </c>
      <c r="L52" s="53">
        <f t="shared" si="28"/>
        <v>127</v>
      </c>
      <c r="M52" s="136"/>
      <c r="N52" s="136"/>
      <c r="O52" s="136">
        <f t="shared" si="39"/>
        <v>0</v>
      </c>
      <c r="P52" s="136">
        <f>0</f>
        <v>0</v>
      </c>
      <c r="Q52" s="141">
        <f t="shared" si="43"/>
        <v>125</v>
      </c>
      <c r="R52" s="141"/>
      <c r="S52" s="212">
        <f t="shared" si="44"/>
        <v>2</v>
      </c>
      <c r="T52" s="163">
        <f t="shared" si="45"/>
        <v>81</v>
      </c>
      <c r="U52" s="155">
        <f t="shared" si="46"/>
        <v>1448</v>
      </c>
      <c r="V52" s="136">
        <f>18+14+24+22</f>
        <v>78</v>
      </c>
      <c r="W52" s="136"/>
      <c r="X52" s="136">
        <f>1+1+1+0</f>
        <v>3</v>
      </c>
      <c r="Y52" s="136">
        <f>0+0+0+0</f>
        <v>0</v>
      </c>
      <c r="Z52" s="141">
        <f t="shared" si="33"/>
        <v>1374</v>
      </c>
      <c r="AA52" s="155">
        <f t="shared" si="34"/>
        <v>59</v>
      </c>
      <c r="AB52" s="166">
        <f t="shared" si="35"/>
        <v>15</v>
      </c>
      <c r="AC52" s="163">
        <f t="shared" si="0"/>
        <v>161</v>
      </c>
      <c r="AD52" s="155">
        <f t="shared" si="1"/>
        <v>2797</v>
      </c>
      <c r="AE52" s="141">
        <f t="shared" si="2"/>
        <v>150</v>
      </c>
      <c r="AF52" s="141"/>
      <c r="AG52" s="141">
        <f t="shared" si="15"/>
        <v>5</v>
      </c>
      <c r="AH52" s="141">
        <f t="shared" si="17"/>
        <v>6</v>
      </c>
      <c r="AI52" s="141">
        <f t="shared" si="36"/>
        <v>2636</v>
      </c>
      <c r="AJ52" s="141">
        <f t="shared" si="37"/>
        <v>84</v>
      </c>
      <c r="AK52" s="141">
        <f t="shared" si="38"/>
        <v>77</v>
      </c>
    </row>
    <row r="53" spans="1:75" s="195" customFormat="1" x14ac:dyDescent="0.2">
      <c r="A53" s="154">
        <v>2014</v>
      </c>
      <c r="B53" s="163">
        <f t="shared" si="40"/>
        <v>85</v>
      </c>
      <c r="C53" s="155">
        <f t="shared" si="41"/>
        <v>1307</v>
      </c>
      <c r="D53" s="141">
        <f>16+24+18+23</f>
        <v>81</v>
      </c>
      <c r="E53" s="141"/>
      <c r="F53" s="141">
        <f>1+0+0+0</f>
        <v>1</v>
      </c>
      <c r="G53" s="141">
        <f>1+0+0+2</f>
        <v>3</v>
      </c>
      <c r="H53" s="141">
        <f t="shared" si="24"/>
        <v>1218</v>
      </c>
      <c r="I53" s="141">
        <f t="shared" si="25"/>
        <v>26</v>
      </c>
      <c r="J53" s="212">
        <f t="shared" si="26"/>
        <v>62</v>
      </c>
      <c r="K53" s="163">
        <f t="shared" si="42"/>
        <v>0</v>
      </c>
      <c r="L53" s="53">
        <f t="shared" si="28"/>
        <v>127</v>
      </c>
      <c r="M53" s="136"/>
      <c r="N53" s="136"/>
      <c r="O53" s="136">
        <f t="shared" si="39"/>
        <v>0</v>
      </c>
      <c r="P53" s="136">
        <f>0</f>
        <v>0</v>
      </c>
      <c r="Q53" s="141">
        <f t="shared" si="43"/>
        <v>125</v>
      </c>
      <c r="R53" s="141"/>
      <c r="S53" s="212">
        <f t="shared" si="44"/>
        <v>2</v>
      </c>
      <c r="T53" s="163">
        <f t="shared" si="45"/>
        <v>97</v>
      </c>
      <c r="U53" s="155">
        <f t="shared" si="46"/>
        <v>1545</v>
      </c>
      <c r="V53" s="136">
        <f>22+16+22+30</f>
        <v>90</v>
      </c>
      <c r="W53" s="136"/>
      <c r="X53" s="136">
        <f>2+2+1+0</f>
        <v>5</v>
      </c>
      <c r="Y53" s="136">
        <f>1+1+0+0</f>
        <v>2</v>
      </c>
      <c r="Z53" s="141">
        <f t="shared" si="33"/>
        <v>1464</v>
      </c>
      <c r="AA53" s="155">
        <f t="shared" si="34"/>
        <v>64</v>
      </c>
      <c r="AB53" s="166">
        <f t="shared" si="35"/>
        <v>17</v>
      </c>
      <c r="AC53" s="163">
        <f t="shared" si="0"/>
        <v>182</v>
      </c>
      <c r="AD53" s="155">
        <f t="shared" si="1"/>
        <v>2979</v>
      </c>
      <c r="AE53" s="141">
        <f t="shared" si="2"/>
        <v>171</v>
      </c>
      <c r="AF53" s="141"/>
      <c r="AG53" s="141">
        <f t="shared" si="15"/>
        <v>6</v>
      </c>
      <c r="AH53" s="141">
        <f t="shared" si="17"/>
        <v>5</v>
      </c>
      <c r="AI53" s="141">
        <f t="shared" si="36"/>
        <v>2807</v>
      </c>
      <c r="AJ53" s="141">
        <f t="shared" si="37"/>
        <v>90</v>
      </c>
      <c r="AK53" s="141">
        <f t="shared" si="38"/>
        <v>82</v>
      </c>
      <c r="AL53" s="187"/>
      <c r="AM53" s="187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</row>
    <row r="54" spans="1:75" s="187" customFormat="1" x14ac:dyDescent="0.2">
      <c r="A54" s="154">
        <v>2015</v>
      </c>
      <c r="B54" s="163">
        <f t="shared" si="40"/>
        <v>86</v>
      </c>
      <c r="C54" s="155">
        <f t="shared" si="41"/>
        <v>1393</v>
      </c>
      <c r="D54" s="141">
        <f>29+16+22+18</f>
        <v>85</v>
      </c>
      <c r="E54" s="141"/>
      <c r="F54" s="141">
        <f>0+0+0</f>
        <v>0</v>
      </c>
      <c r="G54" s="141">
        <f>0+1+0</f>
        <v>1</v>
      </c>
      <c r="H54" s="141">
        <f t="shared" si="24"/>
        <v>1303</v>
      </c>
      <c r="I54" s="141">
        <f t="shared" si="25"/>
        <v>26</v>
      </c>
      <c r="J54" s="212">
        <f t="shared" si="26"/>
        <v>63</v>
      </c>
      <c r="K54" s="163">
        <f t="shared" si="42"/>
        <v>0</v>
      </c>
      <c r="L54" s="53">
        <f t="shared" si="28"/>
        <v>127</v>
      </c>
      <c r="M54" s="136"/>
      <c r="N54" s="136"/>
      <c r="O54" s="136">
        <f t="shared" si="39"/>
        <v>0</v>
      </c>
      <c r="P54" s="136">
        <f>0</f>
        <v>0</v>
      </c>
      <c r="Q54" s="141">
        <f t="shared" si="43"/>
        <v>125</v>
      </c>
      <c r="R54" s="141"/>
      <c r="S54" s="212">
        <f t="shared" si="44"/>
        <v>2</v>
      </c>
      <c r="T54" s="163">
        <f t="shared" si="45"/>
        <v>94</v>
      </c>
      <c r="U54" s="155">
        <f t="shared" si="46"/>
        <v>1639</v>
      </c>
      <c r="V54" s="136">
        <f>28+21+22+20</f>
        <v>91</v>
      </c>
      <c r="W54" s="136"/>
      <c r="X54" s="136">
        <f>1+0+1</f>
        <v>2</v>
      </c>
      <c r="Y54" s="136">
        <f>0+0+1+0</f>
        <v>1</v>
      </c>
      <c r="Z54" s="141">
        <f t="shared" si="33"/>
        <v>1555</v>
      </c>
      <c r="AA54" s="155">
        <f t="shared" si="34"/>
        <v>66</v>
      </c>
      <c r="AB54" s="166">
        <f t="shared" si="35"/>
        <v>18</v>
      </c>
      <c r="AC54" s="163">
        <f t="shared" si="0"/>
        <v>180</v>
      </c>
      <c r="AD54" s="155">
        <f t="shared" si="1"/>
        <v>3159</v>
      </c>
      <c r="AE54" s="141">
        <f t="shared" si="2"/>
        <v>176</v>
      </c>
      <c r="AF54" s="141"/>
      <c r="AG54" s="141">
        <f t="shared" si="15"/>
        <v>2</v>
      </c>
      <c r="AH54" s="141">
        <f t="shared" si="17"/>
        <v>2</v>
      </c>
      <c r="AI54" s="141">
        <f t="shared" si="36"/>
        <v>2983</v>
      </c>
      <c r="AJ54" s="141">
        <f t="shared" si="37"/>
        <v>92</v>
      </c>
      <c r="AK54" s="141">
        <f t="shared" si="38"/>
        <v>84</v>
      </c>
    </row>
    <row r="55" spans="1:75" s="224" customFormat="1" x14ac:dyDescent="0.2">
      <c r="A55" s="150">
        <v>2016</v>
      </c>
      <c r="B55" s="173">
        <f t="shared" si="40"/>
        <v>93</v>
      </c>
      <c r="C55" s="174">
        <f t="shared" si="41"/>
        <v>1486</v>
      </c>
      <c r="D55" s="149">
        <f>25+22+19+26</f>
        <v>92</v>
      </c>
      <c r="E55" s="149"/>
      <c r="F55" s="149">
        <f>0+1+0</f>
        <v>1</v>
      </c>
      <c r="G55" s="149">
        <f>0</f>
        <v>0</v>
      </c>
      <c r="H55" s="149">
        <f t="shared" si="24"/>
        <v>1395</v>
      </c>
      <c r="I55" s="149">
        <f t="shared" si="25"/>
        <v>27</v>
      </c>
      <c r="J55" s="229">
        <f t="shared" si="26"/>
        <v>63</v>
      </c>
      <c r="K55" s="173">
        <f t="shared" si="42"/>
        <v>0</v>
      </c>
      <c r="L55" s="53">
        <f t="shared" si="28"/>
        <v>127</v>
      </c>
      <c r="M55" s="205"/>
      <c r="N55" s="205"/>
      <c r="O55" s="205">
        <f t="shared" si="39"/>
        <v>0</v>
      </c>
      <c r="P55" s="205">
        <f>0</f>
        <v>0</v>
      </c>
      <c r="Q55" s="149">
        <f t="shared" si="43"/>
        <v>125</v>
      </c>
      <c r="R55" s="149"/>
      <c r="S55" s="229">
        <f t="shared" si="44"/>
        <v>2</v>
      </c>
      <c r="T55" s="173">
        <f t="shared" si="45"/>
        <v>106</v>
      </c>
      <c r="U55" s="174">
        <f t="shared" si="46"/>
        <v>1745</v>
      </c>
      <c r="V55" s="205">
        <f>26+26+30+23</f>
        <v>105</v>
      </c>
      <c r="W55" s="205"/>
      <c r="X55" s="205">
        <f>0+0+0+1</f>
        <v>1</v>
      </c>
      <c r="Y55" s="205">
        <f>0</f>
        <v>0</v>
      </c>
      <c r="Z55" s="149">
        <f t="shared" si="33"/>
        <v>1660</v>
      </c>
      <c r="AA55" s="174">
        <f t="shared" si="34"/>
        <v>67</v>
      </c>
      <c r="AB55" s="225">
        <f t="shared" si="35"/>
        <v>18</v>
      </c>
      <c r="AC55" s="173">
        <f t="shared" si="0"/>
        <v>199</v>
      </c>
      <c r="AD55" s="174">
        <f t="shared" si="1"/>
        <v>3358</v>
      </c>
      <c r="AE55" s="149">
        <f t="shared" si="2"/>
        <v>197</v>
      </c>
      <c r="AF55" s="149"/>
      <c r="AG55" s="149">
        <f t="shared" si="15"/>
        <v>2</v>
      </c>
      <c r="AH55" s="149">
        <f t="shared" si="17"/>
        <v>0</v>
      </c>
      <c r="AI55" s="149">
        <f t="shared" si="36"/>
        <v>3180</v>
      </c>
      <c r="AJ55" s="149">
        <f t="shared" si="37"/>
        <v>94</v>
      </c>
      <c r="AK55" s="149">
        <f t="shared" si="38"/>
        <v>84</v>
      </c>
    </row>
    <row r="56" spans="1:75" s="195" customFormat="1" x14ac:dyDescent="0.2">
      <c r="A56" s="150">
        <v>2017</v>
      </c>
      <c r="B56" s="163">
        <f>D56+F56+G56</f>
        <v>87</v>
      </c>
      <c r="C56" s="155">
        <f t="shared" ref="C56:C61" si="47">C55+B56</f>
        <v>1573</v>
      </c>
      <c r="D56" s="141">
        <f>21+19+19+24</f>
        <v>83</v>
      </c>
      <c r="E56" s="141"/>
      <c r="F56" s="141">
        <f>1+2+0+0</f>
        <v>3</v>
      </c>
      <c r="G56" s="141">
        <f>0+0+0+1</f>
        <v>1</v>
      </c>
      <c r="H56" s="141">
        <f t="shared" si="24"/>
        <v>1478</v>
      </c>
      <c r="I56" s="141">
        <f t="shared" si="25"/>
        <v>30</v>
      </c>
      <c r="J56" s="212">
        <f t="shared" si="26"/>
        <v>64</v>
      </c>
      <c r="K56" s="163">
        <f t="shared" ref="K56:K61" si="48">M56+O56+P56</f>
        <v>0</v>
      </c>
      <c r="L56" s="53">
        <f t="shared" si="28"/>
        <v>127</v>
      </c>
      <c r="M56" s="136"/>
      <c r="N56" s="136"/>
      <c r="O56" s="136">
        <f t="shared" si="39"/>
        <v>0</v>
      </c>
      <c r="P56" s="136">
        <f>0</f>
        <v>0</v>
      </c>
      <c r="Q56" s="141">
        <f t="shared" ref="Q56:Q61" si="49">Q55+M56</f>
        <v>125</v>
      </c>
      <c r="R56" s="141"/>
      <c r="S56" s="212">
        <f>S55+P56</f>
        <v>2</v>
      </c>
      <c r="T56" s="163">
        <f>V56+X56+Y56</f>
        <v>94</v>
      </c>
      <c r="U56" s="155">
        <f t="shared" ref="U56:U61" si="50">U55+T56</f>
        <v>1839</v>
      </c>
      <c r="V56" s="136">
        <f>19+29+26+19</f>
        <v>93</v>
      </c>
      <c r="W56" s="136"/>
      <c r="X56" s="136">
        <f>0+0+0</f>
        <v>0</v>
      </c>
      <c r="Y56" s="136">
        <f>1</f>
        <v>1</v>
      </c>
      <c r="Z56" s="141">
        <f t="shared" si="33"/>
        <v>1753</v>
      </c>
      <c r="AA56" s="155">
        <f t="shared" si="34"/>
        <v>67</v>
      </c>
      <c r="AB56" s="166">
        <f t="shared" si="35"/>
        <v>19</v>
      </c>
      <c r="AC56" s="163">
        <f t="shared" si="0"/>
        <v>181</v>
      </c>
      <c r="AD56" s="155">
        <f t="shared" si="1"/>
        <v>3539</v>
      </c>
      <c r="AE56" s="141">
        <f t="shared" si="2"/>
        <v>176</v>
      </c>
      <c r="AF56" s="141"/>
      <c r="AG56" s="141">
        <f t="shared" si="15"/>
        <v>3</v>
      </c>
      <c r="AH56" s="141">
        <f t="shared" si="17"/>
        <v>2</v>
      </c>
      <c r="AI56" s="141">
        <f t="shared" si="36"/>
        <v>3356</v>
      </c>
      <c r="AJ56" s="141">
        <f t="shared" si="37"/>
        <v>97</v>
      </c>
      <c r="AK56" s="141">
        <f t="shared" si="38"/>
        <v>86</v>
      </c>
    </row>
    <row r="57" spans="1:75" s="195" customFormat="1" x14ac:dyDescent="0.2">
      <c r="A57" s="150">
        <v>2018</v>
      </c>
      <c r="B57" s="182">
        <f>D57+F57+G57</f>
        <v>77</v>
      </c>
      <c r="C57" s="155">
        <f t="shared" si="47"/>
        <v>1650</v>
      </c>
      <c r="D57" s="141">
        <f>16+20+15+25</f>
        <v>76</v>
      </c>
      <c r="E57" s="141"/>
      <c r="F57" s="141">
        <f>0+0+1</f>
        <v>1</v>
      </c>
      <c r="G57" s="141">
        <f>0</f>
        <v>0</v>
      </c>
      <c r="H57" s="141">
        <f t="shared" si="24"/>
        <v>1554</v>
      </c>
      <c r="I57" s="141">
        <f t="shared" si="25"/>
        <v>31</v>
      </c>
      <c r="J57" s="212">
        <f t="shared" si="26"/>
        <v>64</v>
      </c>
      <c r="K57" s="182">
        <f t="shared" si="48"/>
        <v>0</v>
      </c>
      <c r="L57" s="53">
        <f t="shared" si="28"/>
        <v>127</v>
      </c>
      <c r="M57" s="136"/>
      <c r="N57" s="136"/>
      <c r="O57" s="136">
        <f t="shared" si="39"/>
        <v>0</v>
      </c>
      <c r="P57" s="136">
        <f>0</f>
        <v>0</v>
      </c>
      <c r="Q57" s="141">
        <f t="shared" si="49"/>
        <v>125</v>
      </c>
      <c r="R57" s="141"/>
      <c r="S57" s="212">
        <f>S56+P57</f>
        <v>2</v>
      </c>
      <c r="T57" s="163">
        <f>V57+X57+Y57</f>
        <v>86</v>
      </c>
      <c r="U57" s="155">
        <f t="shared" si="50"/>
        <v>1925</v>
      </c>
      <c r="V57" s="136">
        <f>17+15+29+25</f>
        <v>86</v>
      </c>
      <c r="W57" s="136"/>
      <c r="X57" s="136">
        <f>0</f>
        <v>0</v>
      </c>
      <c r="Y57" s="136">
        <f>0</f>
        <v>0</v>
      </c>
      <c r="Z57" s="141">
        <f t="shared" si="33"/>
        <v>1839</v>
      </c>
      <c r="AA57" s="155">
        <f t="shared" si="34"/>
        <v>67</v>
      </c>
      <c r="AB57" s="166">
        <f t="shared" si="35"/>
        <v>19</v>
      </c>
      <c r="AC57" s="163">
        <f t="shared" si="0"/>
        <v>163</v>
      </c>
      <c r="AD57" s="155">
        <f t="shared" si="1"/>
        <v>3702</v>
      </c>
      <c r="AE57" s="141">
        <f t="shared" si="2"/>
        <v>162</v>
      </c>
      <c r="AF57" s="141"/>
      <c r="AG57" s="141">
        <f t="shared" si="15"/>
        <v>1</v>
      </c>
      <c r="AH57" s="141">
        <f t="shared" si="17"/>
        <v>0</v>
      </c>
      <c r="AI57" s="141">
        <f t="shared" si="36"/>
        <v>3518</v>
      </c>
      <c r="AJ57" s="141">
        <f t="shared" si="37"/>
        <v>98</v>
      </c>
      <c r="AK57" s="141">
        <f t="shared" si="38"/>
        <v>86</v>
      </c>
    </row>
    <row r="58" spans="1:75" s="187" customFormat="1" x14ac:dyDescent="0.2">
      <c r="A58" s="150">
        <v>2019</v>
      </c>
      <c r="B58" s="163">
        <f>D58+F58+G58</f>
        <v>88</v>
      </c>
      <c r="C58" s="155">
        <f t="shared" si="47"/>
        <v>1738</v>
      </c>
      <c r="D58" s="141">
        <f>17+26+18+26</f>
        <v>87</v>
      </c>
      <c r="E58" s="141"/>
      <c r="F58" s="141">
        <f>0+0+1</f>
        <v>1</v>
      </c>
      <c r="G58" s="141">
        <f>0</f>
        <v>0</v>
      </c>
      <c r="H58" s="141">
        <f t="shared" si="24"/>
        <v>1641</v>
      </c>
      <c r="I58" s="141">
        <f t="shared" si="25"/>
        <v>32</v>
      </c>
      <c r="J58" s="212">
        <f t="shared" si="26"/>
        <v>64</v>
      </c>
      <c r="K58" s="163">
        <f t="shared" si="48"/>
        <v>0</v>
      </c>
      <c r="L58" s="53">
        <f t="shared" si="28"/>
        <v>127</v>
      </c>
      <c r="M58" s="136"/>
      <c r="N58" s="136"/>
      <c r="O58" s="136">
        <f t="shared" si="39"/>
        <v>0</v>
      </c>
      <c r="P58" s="136">
        <f>0</f>
        <v>0</v>
      </c>
      <c r="Q58" s="141">
        <f t="shared" si="49"/>
        <v>125</v>
      </c>
      <c r="R58" s="141"/>
      <c r="S58" s="212">
        <f>S57+P58</f>
        <v>2</v>
      </c>
      <c r="T58" s="163">
        <f>V58+X58+Y58</f>
        <v>95</v>
      </c>
      <c r="U58" s="155">
        <f t="shared" si="50"/>
        <v>2020</v>
      </c>
      <c r="V58" s="136">
        <f>27+23+13+30</f>
        <v>93</v>
      </c>
      <c r="W58" s="136"/>
      <c r="X58" s="136">
        <f>0+2+0</f>
        <v>2</v>
      </c>
      <c r="Y58" s="136">
        <f>0</f>
        <v>0</v>
      </c>
      <c r="Z58" s="141">
        <f t="shared" si="33"/>
        <v>1932</v>
      </c>
      <c r="AA58" s="155">
        <f t="shared" si="34"/>
        <v>69</v>
      </c>
      <c r="AB58" s="166">
        <f t="shared" si="35"/>
        <v>19</v>
      </c>
      <c r="AC58" s="163">
        <f t="shared" si="0"/>
        <v>183</v>
      </c>
      <c r="AD58" s="155">
        <f t="shared" si="1"/>
        <v>3885</v>
      </c>
      <c r="AE58" s="141">
        <f t="shared" si="2"/>
        <v>180</v>
      </c>
      <c r="AF58" s="141"/>
      <c r="AG58" s="141">
        <f t="shared" si="15"/>
        <v>3</v>
      </c>
      <c r="AH58" s="141">
        <f t="shared" si="17"/>
        <v>0</v>
      </c>
      <c r="AI58" s="141">
        <f t="shared" si="36"/>
        <v>3698</v>
      </c>
      <c r="AJ58" s="141">
        <f t="shared" si="37"/>
        <v>101</v>
      </c>
      <c r="AK58" s="141">
        <f t="shared" si="38"/>
        <v>86</v>
      </c>
    </row>
    <row r="59" spans="1:75" s="195" customFormat="1" x14ac:dyDescent="0.2">
      <c r="A59" s="150">
        <v>2020</v>
      </c>
      <c r="B59" s="163">
        <f>D59+E59+F59+G59</f>
        <v>92</v>
      </c>
      <c r="C59" s="155">
        <f t="shared" si="47"/>
        <v>1830</v>
      </c>
      <c r="D59" s="141">
        <f>31+12+28+20</f>
        <v>91</v>
      </c>
      <c r="E59" s="141">
        <f>0+0+1</f>
        <v>1</v>
      </c>
      <c r="F59" s="141">
        <f>0+0+0</f>
        <v>0</v>
      </c>
      <c r="G59" s="141"/>
      <c r="H59" s="141">
        <f>H58+D59+E59</f>
        <v>1733</v>
      </c>
      <c r="I59" s="141">
        <f t="shared" si="25"/>
        <v>32</v>
      </c>
      <c r="J59" s="212">
        <f t="shared" si="26"/>
        <v>64</v>
      </c>
      <c r="K59" s="163">
        <f t="shared" si="48"/>
        <v>0</v>
      </c>
      <c r="L59" s="134">
        <f t="shared" si="28"/>
        <v>127</v>
      </c>
      <c r="M59" s="136"/>
      <c r="N59" s="136"/>
      <c r="O59" s="136">
        <f t="shared" si="39"/>
        <v>0</v>
      </c>
      <c r="P59" s="136">
        <f>0</f>
        <v>0</v>
      </c>
      <c r="Q59" s="141">
        <f t="shared" si="49"/>
        <v>125</v>
      </c>
      <c r="R59" s="141"/>
      <c r="S59" s="212">
        <f>S58+P59</f>
        <v>2</v>
      </c>
      <c r="T59" s="163">
        <f>V59+W59+X59+Y59</f>
        <v>80</v>
      </c>
      <c r="U59" s="155">
        <f t="shared" si="50"/>
        <v>2100</v>
      </c>
      <c r="V59" s="136">
        <f>17+24+26+12</f>
        <v>79</v>
      </c>
      <c r="W59" s="136"/>
      <c r="X59" s="136">
        <f>0</f>
        <v>0</v>
      </c>
      <c r="Y59" s="136">
        <f>0+0+1+0</f>
        <v>1</v>
      </c>
      <c r="Z59" s="141">
        <f>Z58+V59+W59</f>
        <v>2011</v>
      </c>
      <c r="AA59" s="155">
        <f t="shared" si="34"/>
        <v>69</v>
      </c>
      <c r="AB59" s="166">
        <f t="shared" si="35"/>
        <v>20</v>
      </c>
      <c r="AC59" s="163">
        <f t="shared" si="0"/>
        <v>172</v>
      </c>
      <c r="AD59" s="155">
        <f t="shared" si="1"/>
        <v>4057</v>
      </c>
      <c r="AE59" s="141">
        <f t="shared" si="2"/>
        <v>170</v>
      </c>
      <c r="AF59" s="141">
        <f>E59+N59+W59</f>
        <v>1</v>
      </c>
      <c r="AG59" s="141">
        <f t="shared" si="15"/>
        <v>0</v>
      </c>
      <c r="AH59" s="141">
        <f t="shared" si="17"/>
        <v>1</v>
      </c>
      <c r="AI59" s="141">
        <f>AI58+AE59+AF59</f>
        <v>3869</v>
      </c>
      <c r="AJ59" s="141">
        <f t="shared" si="37"/>
        <v>101</v>
      </c>
      <c r="AK59" s="141">
        <f t="shared" si="38"/>
        <v>87</v>
      </c>
    </row>
    <row r="60" spans="1:75" s="195" customFormat="1" x14ac:dyDescent="0.2">
      <c r="A60" s="150">
        <v>2021</v>
      </c>
      <c r="B60" s="163">
        <f>D60+E60+F60+G60</f>
        <v>70</v>
      </c>
      <c r="C60" s="155">
        <f t="shared" si="47"/>
        <v>1900</v>
      </c>
      <c r="D60" s="141">
        <f>17+12+18+17</f>
        <v>64</v>
      </c>
      <c r="E60" s="141">
        <f>1+0+4+1</f>
        <v>6</v>
      </c>
      <c r="F60" s="141">
        <f>0+0+0+0</f>
        <v>0</v>
      </c>
      <c r="G60" s="141">
        <f>0+0+0+0</f>
        <v>0</v>
      </c>
      <c r="H60" s="141">
        <f>H59+D60+E60</f>
        <v>1803</v>
      </c>
      <c r="I60" s="141">
        <f t="shared" ref="I60:J63" si="51">I59+F60</f>
        <v>32</v>
      </c>
      <c r="J60" s="212">
        <f t="shared" si="51"/>
        <v>64</v>
      </c>
      <c r="K60" s="163">
        <f t="shared" si="48"/>
        <v>0</v>
      </c>
      <c r="L60" s="134">
        <f>L59+K60</f>
        <v>127</v>
      </c>
      <c r="M60" s="136"/>
      <c r="N60" s="136"/>
      <c r="O60" s="136">
        <f t="shared" si="39"/>
        <v>0</v>
      </c>
      <c r="P60" s="136">
        <f>0</f>
        <v>0</v>
      </c>
      <c r="Q60" s="141">
        <f t="shared" si="49"/>
        <v>125</v>
      </c>
      <c r="R60" s="141"/>
      <c r="S60" s="212"/>
      <c r="T60" s="163">
        <f>V60+W60+X60+Y60</f>
        <v>100</v>
      </c>
      <c r="U60" s="155">
        <f t="shared" si="50"/>
        <v>2200</v>
      </c>
      <c r="V60" s="136">
        <f>29+19+24+26</f>
        <v>98</v>
      </c>
      <c r="W60" s="136">
        <f>0+0+0+1</f>
        <v>1</v>
      </c>
      <c r="X60" s="136">
        <f>0+0+1+0</f>
        <v>1</v>
      </c>
      <c r="Y60" s="136">
        <f>0+0+0</f>
        <v>0</v>
      </c>
      <c r="Z60" s="141">
        <f>Z59+V60+W60</f>
        <v>2110</v>
      </c>
      <c r="AA60" s="155">
        <f t="shared" ref="AA60:AB63" si="52">AA59+X60</f>
        <v>70</v>
      </c>
      <c r="AB60" s="166">
        <f t="shared" si="52"/>
        <v>20</v>
      </c>
      <c r="AC60" s="163">
        <f t="shared" ref="AC60:AE61" si="53">B60+K60+T60</f>
        <v>170</v>
      </c>
      <c r="AD60" s="155">
        <f t="shared" si="53"/>
        <v>4227</v>
      </c>
      <c r="AE60" s="141">
        <f t="shared" si="53"/>
        <v>162</v>
      </c>
      <c r="AF60" s="141">
        <f>E60+N60+W60</f>
        <v>7</v>
      </c>
      <c r="AG60" s="141">
        <f t="shared" ref="AG60:AH63" si="54">F60+O60+X60</f>
        <v>1</v>
      </c>
      <c r="AH60" s="141">
        <f t="shared" si="54"/>
        <v>0</v>
      </c>
      <c r="AI60" s="141">
        <f>AI59+AE60+AF60</f>
        <v>4038</v>
      </c>
      <c r="AJ60" s="141">
        <f t="shared" ref="AJ60:AK63" si="55">AJ59+AG60</f>
        <v>102</v>
      </c>
      <c r="AK60" s="141">
        <f t="shared" si="55"/>
        <v>87</v>
      </c>
    </row>
    <row r="61" spans="1:75" s="195" customFormat="1" x14ac:dyDescent="0.2">
      <c r="A61" s="150">
        <v>2022</v>
      </c>
      <c r="B61" s="182">
        <f>D61+E61+F61+G61</f>
        <v>76</v>
      </c>
      <c r="C61" s="179">
        <f t="shared" si="47"/>
        <v>1976</v>
      </c>
      <c r="D61" s="181">
        <f>16+18+19+16</f>
        <v>69</v>
      </c>
      <c r="E61" s="181">
        <f>2+2+2+1</f>
        <v>7</v>
      </c>
      <c r="F61" s="181">
        <f>0+0+0+0</f>
        <v>0</v>
      </c>
      <c r="G61" s="181">
        <f>0+0</f>
        <v>0</v>
      </c>
      <c r="H61" s="181">
        <f>H60+D61+E61</f>
        <v>1879</v>
      </c>
      <c r="I61" s="181">
        <f t="shared" si="51"/>
        <v>32</v>
      </c>
      <c r="J61" s="212">
        <f t="shared" si="51"/>
        <v>64</v>
      </c>
      <c r="K61" s="182">
        <f t="shared" si="48"/>
        <v>0</v>
      </c>
      <c r="L61" s="53">
        <f>L60+K61</f>
        <v>127</v>
      </c>
      <c r="M61" s="180"/>
      <c r="N61" s="180"/>
      <c r="O61" s="180">
        <f>0+0+0+0</f>
        <v>0</v>
      </c>
      <c r="P61" s="180">
        <f>0</f>
        <v>0</v>
      </c>
      <c r="Q61" s="181">
        <f t="shared" si="49"/>
        <v>125</v>
      </c>
      <c r="R61" s="181"/>
      <c r="S61" s="189"/>
      <c r="T61" s="182">
        <f>V61+W61+X61+Y61</f>
        <v>90</v>
      </c>
      <c r="U61" s="179">
        <f t="shared" si="50"/>
        <v>2290</v>
      </c>
      <c r="V61" s="180">
        <f>25+18+23+21</f>
        <v>87</v>
      </c>
      <c r="W61" s="180">
        <f>0+2+0+1</f>
        <v>3</v>
      </c>
      <c r="X61" s="180">
        <f>0+0+0+0</f>
        <v>0</v>
      </c>
      <c r="Y61" s="180">
        <f>0+0</f>
        <v>0</v>
      </c>
      <c r="Z61" s="181">
        <f>Z60+V61+W61</f>
        <v>2200</v>
      </c>
      <c r="AA61" s="179">
        <f t="shared" si="52"/>
        <v>70</v>
      </c>
      <c r="AB61" s="183">
        <f t="shared" si="52"/>
        <v>20</v>
      </c>
      <c r="AC61" s="182">
        <f t="shared" si="53"/>
        <v>166</v>
      </c>
      <c r="AD61" s="179">
        <f t="shared" si="53"/>
        <v>4393</v>
      </c>
      <c r="AE61" s="181">
        <f t="shared" si="53"/>
        <v>156</v>
      </c>
      <c r="AF61" s="181">
        <f>E61+N61+W61</f>
        <v>10</v>
      </c>
      <c r="AG61" s="181">
        <f t="shared" si="54"/>
        <v>0</v>
      </c>
      <c r="AH61" s="181">
        <f t="shared" si="54"/>
        <v>0</v>
      </c>
      <c r="AI61" s="181">
        <f>AI60+AE61+AF61</f>
        <v>4204</v>
      </c>
      <c r="AJ61" s="181">
        <f t="shared" si="55"/>
        <v>102</v>
      </c>
      <c r="AK61" s="181">
        <f t="shared" si="55"/>
        <v>87</v>
      </c>
    </row>
    <row r="62" spans="1:75" s="195" customFormat="1" x14ac:dyDescent="0.2">
      <c r="A62" s="150">
        <v>2023</v>
      </c>
      <c r="B62" s="182">
        <f>D62+E62+F62+G62</f>
        <v>97</v>
      </c>
      <c r="C62" s="179">
        <f>C61+B62</f>
        <v>2073</v>
      </c>
      <c r="D62" s="181">
        <f>13+22+21+23</f>
        <v>79</v>
      </c>
      <c r="E62" s="181">
        <f>5+5+4+4</f>
        <v>18</v>
      </c>
      <c r="F62" s="181">
        <f>0</f>
        <v>0</v>
      </c>
      <c r="G62" s="181">
        <f>0+0+0+0</f>
        <v>0</v>
      </c>
      <c r="H62" s="181">
        <f>H61+D62+E62</f>
        <v>1976</v>
      </c>
      <c r="I62" s="181">
        <f t="shared" si="51"/>
        <v>32</v>
      </c>
      <c r="J62" s="212">
        <f t="shared" si="51"/>
        <v>64</v>
      </c>
      <c r="K62" s="182">
        <f>M62+O62+P62</f>
        <v>0</v>
      </c>
      <c r="L62" s="53">
        <f>L61+K62</f>
        <v>127</v>
      </c>
      <c r="M62" s="180"/>
      <c r="N62" s="180"/>
      <c r="O62" s="180">
        <f>0+0+0+0</f>
        <v>0</v>
      </c>
      <c r="P62" s="180">
        <f>0</f>
        <v>0</v>
      </c>
      <c r="Q62" s="181">
        <f>Q61+M62</f>
        <v>125</v>
      </c>
      <c r="R62" s="181"/>
      <c r="S62" s="189"/>
      <c r="T62" s="182">
        <f>V62+W62+X62+Y62</f>
        <v>101</v>
      </c>
      <c r="U62" s="179">
        <f>U61+T62</f>
        <v>2391</v>
      </c>
      <c r="V62" s="180">
        <f>23+20+24+21</f>
        <v>88</v>
      </c>
      <c r="W62" s="180">
        <f>4+4+0+5</f>
        <v>13</v>
      </c>
      <c r="X62" s="180">
        <f>0</f>
        <v>0</v>
      </c>
      <c r="Y62" s="180">
        <f>0</f>
        <v>0</v>
      </c>
      <c r="Z62" s="181">
        <f>Z61+V62+W62</f>
        <v>2301</v>
      </c>
      <c r="AA62" s="179">
        <f t="shared" si="52"/>
        <v>70</v>
      </c>
      <c r="AB62" s="183">
        <f t="shared" si="52"/>
        <v>20</v>
      </c>
      <c r="AC62" s="182">
        <f t="shared" ref="AC62:AE63" si="56">B62+K62+T62</f>
        <v>198</v>
      </c>
      <c r="AD62" s="179">
        <f t="shared" si="56"/>
        <v>4591</v>
      </c>
      <c r="AE62" s="181">
        <f t="shared" si="56"/>
        <v>167</v>
      </c>
      <c r="AF62" s="181">
        <f>E62+N62+W62</f>
        <v>31</v>
      </c>
      <c r="AG62" s="181">
        <f t="shared" si="54"/>
        <v>0</v>
      </c>
      <c r="AH62" s="181">
        <f t="shared" si="54"/>
        <v>0</v>
      </c>
      <c r="AI62" s="181">
        <f>AI61+AE62+AF62</f>
        <v>4402</v>
      </c>
      <c r="AJ62" s="181">
        <f t="shared" si="55"/>
        <v>102</v>
      </c>
      <c r="AK62" s="181">
        <f t="shared" si="55"/>
        <v>87</v>
      </c>
    </row>
    <row r="63" spans="1:75" x14ac:dyDescent="0.2">
      <c r="A63" s="221">
        <v>2024</v>
      </c>
      <c r="B63" s="182">
        <f>D63+E63+F63+G63</f>
        <v>83</v>
      </c>
      <c r="C63" s="179">
        <f>C62+B63</f>
        <v>2156</v>
      </c>
      <c r="D63" s="54">
        <f>15+13+17+17</f>
        <v>62</v>
      </c>
      <c r="E63" s="54">
        <f>4+6+7+4</f>
        <v>21</v>
      </c>
      <c r="F63" s="11">
        <f>0+0+0+0</f>
        <v>0</v>
      </c>
      <c r="G63" s="11">
        <f>0+0+0+0</f>
        <v>0</v>
      </c>
      <c r="H63" s="181">
        <f>H62+D63+E63</f>
        <v>2059</v>
      </c>
      <c r="I63" s="181">
        <f t="shared" si="51"/>
        <v>32</v>
      </c>
      <c r="J63" s="212">
        <f t="shared" si="51"/>
        <v>64</v>
      </c>
      <c r="K63" s="47">
        <f>M63+O63+P63</f>
        <v>0</v>
      </c>
      <c r="L63" s="53">
        <f>L62+K63</f>
        <v>127</v>
      </c>
      <c r="M63" s="44"/>
      <c r="N63" s="44"/>
      <c r="O63" s="44"/>
      <c r="P63" s="44"/>
      <c r="Q63" s="181">
        <f>Q62+M63</f>
        <v>125</v>
      </c>
      <c r="R63" s="71"/>
      <c r="S63" s="53"/>
      <c r="T63" s="182">
        <f>V63+W63+X63+Y63</f>
        <v>94</v>
      </c>
      <c r="U63" s="179">
        <f>U62+T63</f>
        <v>2485</v>
      </c>
      <c r="V63" s="62">
        <f>16+15+23+26</f>
        <v>80</v>
      </c>
      <c r="W63" s="62">
        <f>2+5+4+3</f>
        <v>14</v>
      </c>
      <c r="X63" s="62">
        <f>0</f>
        <v>0</v>
      </c>
      <c r="Y63" s="62">
        <f>0</f>
        <v>0</v>
      </c>
      <c r="Z63" s="181">
        <f>Z62+V63+W63</f>
        <v>2395</v>
      </c>
      <c r="AA63" s="179">
        <f t="shared" si="52"/>
        <v>70</v>
      </c>
      <c r="AB63" s="183">
        <f t="shared" si="52"/>
        <v>20</v>
      </c>
      <c r="AC63" s="182">
        <f t="shared" si="56"/>
        <v>177</v>
      </c>
      <c r="AD63" s="179">
        <f t="shared" si="56"/>
        <v>4768</v>
      </c>
      <c r="AE63" s="181">
        <f t="shared" si="56"/>
        <v>142</v>
      </c>
      <c r="AF63" s="181">
        <f>E63+N63+W63</f>
        <v>35</v>
      </c>
      <c r="AG63" s="181">
        <f t="shared" si="54"/>
        <v>0</v>
      </c>
      <c r="AH63" s="181">
        <f t="shared" si="54"/>
        <v>0</v>
      </c>
      <c r="AI63" s="181">
        <f>AI62+AE63+AF63</f>
        <v>4579</v>
      </c>
      <c r="AJ63" s="181">
        <f t="shared" si="55"/>
        <v>102</v>
      </c>
      <c r="AK63" s="181">
        <f t="shared" si="55"/>
        <v>87</v>
      </c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</row>
    <row r="64" spans="1:75" x14ac:dyDescent="0.2">
      <c r="A64" s="17">
        <v>2025</v>
      </c>
      <c r="B64" s="8"/>
      <c r="C64" s="11"/>
      <c r="D64" s="54"/>
      <c r="E64" s="54"/>
      <c r="F64" s="11"/>
      <c r="G64" s="11"/>
      <c r="H64" s="11"/>
      <c r="I64" s="10"/>
      <c r="J64" s="33"/>
      <c r="K64" s="47"/>
      <c r="L64" s="44"/>
      <c r="M64" s="44"/>
      <c r="N64" s="44"/>
      <c r="O64" s="44"/>
      <c r="P64" s="44"/>
      <c r="Q64" s="44"/>
      <c r="R64" s="71"/>
      <c r="S64" s="53"/>
      <c r="T64" s="63"/>
      <c r="U64" s="62"/>
      <c r="V64" s="62"/>
      <c r="W64" s="62"/>
      <c r="X64" s="62"/>
      <c r="Y64" s="62"/>
      <c r="Z64" s="62"/>
      <c r="AA64" s="71"/>
      <c r="AB64" s="72"/>
      <c r="AC64" s="63"/>
      <c r="AD64" s="62"/>
      <c r="AE64" s="62"/>
      <c r="AF64" s="62"/>
      <c r="AG64" s="62"/>
      <c r="AH64" s="62"/>
      <c r="AI64" s="62"/>
      <c r="AJ64" s="62"/>
      <c r="AK64" s="62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</row>
    <row r="65" spans="1:75" x14ac:dyDescent="0.2">
      <c r="A65" s="17">
        <v>2026</v>
      </c>
      <c r="B65" s="8"/>
      <c r="C65" s="11"/>
      <c r="D65" s="54"/>
      <c r="E65" s="54"/>
      <c r="F65" s="11"/>
      <c r="G65" s="11"/>
      <c r="H65" s="11"/>
      <c r="I65" s="10"/>
      <c r="J65" s="33"/>
      <c r="K65" s="47"/>
      <c r="L65" s="44"/>
      <c r="M65" s="44"/>
      <c r="N65" s="44"/>
      <c r="O65" s="44"/>
      <c r="P65" s="44"/>
      <c r="Q65" s="44"/>
      <c r="R65" s="71"/>
      <c r="S65" s="53"/>
      <c r="T65" s="63"/>
      <c r="U65" s="62"/>
      <c r="V65" s="62"/>
      <c r="W65" s="62"/>
      <c r="X65" s="62"/>
      <c r="Y65" s="62"/>
      <c r="Z65" s="62"/>
      <c r="AA65" s="71"/>
      <c r="AB65" s="72"/>
      <c r="AC65" s="63"/>
      <c r="AD65" s="62"/>
      <c r="AE65" s="62"/>
      <c r="AF65" s="62"/>
      <c r="AG65" s="62"/>
      <c r="AH65" s="62"/>
      <c r="AI65" s="62"/>
      <c r="AJ65" s="62"/>
      <c r="AK65" s="62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</row>
    <row r="66" spans="1:75" x14ac:dyDescent="0.2">
      <c r="A66" s="17">
        <v>2027</v>
      </c>
      <c r="B66" s="8"/>
      <c r="C66" s="11"/>
      <c r="D66" s="54"/>
      <c r="E66" s="54"/>
      <c r="F66" s="11"/>
      <c r="G66" s="11"/>
      <c r="H66" s="11"/>
      <c r="I66" s="10"/>
      <c r="J66" s="33"/>
      <c r="K66" s="47"/>
      <c r="L66" s="44"/>
      <c r="M66" s="44"/>
      <c r="N66" s="44"/>
      <c r="O66" s="44"/>
      <c r="P66" s="44"/>
      <c r="Q66" s="44"/>
      <c r="R66" s="71"/>
      <c r="S66" s="53"/>
      <c r="T66" s="63"/>
      <c r="U66" s="62"/>
      <c r="V66" s="62"/>
      <c r="W66" s="62"/>
      <c r="X66" s="62"/>
      <c r="Y66" s="62"/>
      <c r="Z66" s="62"/>
      <c r="AA66" s="71"/>
      <c r="AB66" s="72"/>
      <c r="AC66" s="63"/>
      <c r="AD66" s="62"/>
      <c r="AE66" s="62"/>
      <c r="AF66" s="62"/>
      <c r="AG66" s="62"/>
      <c r="AH66" s="62"/>
      <c r="AI66" s="62"/>
      <c r="AJ66" s="62"/>
      <c r="AK66" s="62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</row>
    <row r="67" spans="1:75" x14ac:dyDescent="0.2">
      <c r="A67" s="17">
        <v>2028</v>
      </c>
      <c r="B67" s="8"/>
      <c r="C67" s="11"/>
      <c r="D67" s="54"/>
      <c r="E67" s="54"/>
      <c r="F67" s="11"/>
      <c r="G67" s="11"/>
      <c r="H67" s="11"/>
      <c r="I67" s="10"/>
      <c r="J67" s="33"/>
      <c r="K67" s="47"/>
      <c r="L67" s="44"/>
      <c r="M67" s="44"/>
      <c r="N67" s="44"/>
      <c r="O67" s="44"/>
      <c r="P67" s="44"/>
      <c r="Q67" s="44"/>
      <c r="R67" s="71"/>
      <c r="S67" s="53"/>
      <c r="T67" s="63"/>
      <c r="U67" s="62"/>
      <c r="V67" s="62"/>
      <c r="W67" s="62"/>
      <c r="X67" s="62"/>
      <c r="Y67" s="62"/>
      <c r="Z67" s="62"/>
      <c r="AA67" s="71"/>
      <c r="AB67" s="72"/>
      <c r="AC67" s="63"/>
      <c r="AD67" s="62"/>
      <c r="AE67" s="62"/>
      <c r="AF67" s="62"/>
      <c r="AG67" s="62"/>
      <c r="AH67" s="62"/>
      <c r="AI67" s="62"/>
      <c r="AJ67" s="62"/>
      <c r="AK67" s="62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</row>
    <row r="68" spans="1:75" x14ac:dyDescent="0.2">
      <c r="A68" s="17">
        <v>2029</v>
      </c>
      <c r="B68" s="8"/>
      <c r="C68" s="11"/>
      <c r="D68" s="54"/>
      <c r="E68" s="54"/>
      <c r="F68" s="11"/>
      <c r="G68" s="11"/>
      <c r="H68" s="11"/>
      <c r="I68" s="10"/>
      <c r="J68" s="33"/>
      <c r="K68" s="47"/>
      <c r="L68" s="44"/>
      <c r="M68" s="44"/>
      <c r="N68" s="44"/>
      <c r="O68" s="44"/>
      <c r="P68" s="44"/>
      <c r="Q68" s="44"/>
      <c r="R68" s="71"/>
      <c r="S68" s="53"/>
      <c r="T68" s="63"/>
      <c r="U68" s="62"/>
      <c r="V68" s="62"/>
      <c r="W68" s="62"/>
      <c r="X68" s="62"/>
      <c r="Y68" s="62"/>
      <c r="Z68" s="62"/>
      <c r="AA68" s="71"/>
      <c r="AB68" s="72"/>
      <c r="AC68" s="63"/>
      <c r="AD68" s="62"/>
      <c r="AE68" s="62"/>
      <c r="AF68" s="62"/>
      <c r="AG68" s="62"/>
      <c r="AH68" s="62"/>
      <c r="AI68" s="62"/>
      <c r="AJ68" s="62"/>
      <c r="AK68" s="62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</row>
    <row r="69" spans="1:75" x14ac:dyDescent="0.2">
      <c r="A69" s="17">
        <v>2030</v>
      </c>
      <c r="B69" s="8"/>
      <c r="C69" s="11"/>
      <c r="D69" s="54"/>
      <c r="E69" s="54"/>
      <c r="F69" s="11"/>
      <c r="G69" s="11"/>
      <c r="H69" s="11"/>
      <c r="I69" s="10"/>
      <c r="J69" s="33"/>
      <c r="K69" s="47"/>
      <c r="L69" s="44"/>
      <c r="M69" s="44"/>
      <c r="N69" s="44"/>
      <c r="O69" s="44"/>
      <c r="P69" s="44"/>
      <c r="Q69" s="44"/>
      <c r="R69" s="71"/>
      <c r="S69" s="53"/>
      <c r="T69" s="63"/>
      <c r="U69" s="62"/>
      <c r="V69" s="62"/>
      <c r="W69" s="62"/>
      <c r="X69" s="62"/>
      <c r="Y69" s="62"/>
      <c r="Z69" s="62"/>
      <c r="AA69" s="71"/>
      <c r="AB69" s="72"/>
      <c r="AC69" s="63"/>
      <c r="AD69" s="62"/>
      <c r="AE69" s="62"/>
      <c r="AF69" s="62"/>
      <c r="AG69" s="62"/>
      <c r="AH69" s="62"/>
      <c r="AI69" s="62"/>
      <c r="AJ69" s="62"/>
      <c r="AK69" s="62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</row>
    <row r="70" spans="1:75" x14ac:dyDescent="0.2">
      <c r="A70" s="17"/>
      <c r="B70" s="8"/>
      <c r="C70" s="11"/>
      <c r="D70" s="54"/>
      <c r="E70" s="54"/>
      <c r="F70" s="11"/>
      <c r="G70" s="11"/>
      <c r="H70" s="11"/>
      <c r="I70" s="10"/>
      <c r="J70" s="33"/>
      <c r="K70" s="47"/>
      <c r="L70" s="44"/>
      <c r="M70" s="44"/>
      <c r="N70" s="44"/>
      <c r="O70" s="44"/>
      <c r="P70" s="44"/>
      <c r="Q70" s="44"/>
      <c r="R70" s="71"/>
      <c r="S70" s="53"/>
      <c r="T70" s="63"/>
      <c r="U70" s="62"/>
      <c r="V70" s="62"/>
      <c r="W70" s="62"/>
      <c r="X70" s="62"/>
      <c r="Y70" s="62"/>
      <c r="Z70" s="62"/>
      <c r="AA70" s="71"/>
      <c r="AB70" s="72"/>
      <c r="AC70" s="63"/>
      <c r="AD70" s="62"/>
      <c r="AE70" s="62"/>
      <c r="AF70" s="62"/>
      <c r="AG70" s="62"/>
      <c r="AH70" s="62"/>
      <c r="AI70" s="62"/>
      <c r="AJ70" s="62"/>
      <c r="AK70" s="62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</row>
    <row r="71" spans="1:75" x14ac:dyDescent="0.2">
      <c r="A71" s="17"/>
      <c r="B71" s="8"/>
      <c r="C71" s="11"/>
      <c r="D71" s="54"/>
      <c r="E71" s="54"/>
      <c r="F71" s="11"/>
      <c r="G71" s="11"/>
      <c r="H71" s="11"/>
      <c r="I71" s="10"/>
      <c r="J71" s="33"/>
      <c r="K71" s="47"/>
      <c r="L71" s="44"/>
      <c r="M71" s="44"/>
      <c r="N71" s="44"/>
      <c r="O71" s="44"/>
      <c r="P71" s="44"/>
      <c r="Q71" s="44"/>
      <c r="R71" s="71"/>
      <c r="S71" s="53"/>
      <c r="T71" s="63"/>
      <c r="U71" s="62"/>
      <c r="V71" s="62"/>
      <c r="W71" s="62"/>
      <c r="X71" s="62"/>
      <c r="Y71" s="62"/>
      <c r="Z71" s="62"/>
      <c r="AA71" s="71"/>
      <c r="AB71" s="72"/>
      <c r="AC71" s="63"/>
      <c r="AD71" s="62"/>
      <c r="AE71" s="62"/>
      <c r="AF71" s="62"/>
      <c r="AG71" s="62"/>
      <c r="AH71" s="62"/>
      <c r="AI71" s="62"/>
      <c r="AJ71" s="62"/>
      <c r="AK71" s="62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</row>
    <row r="72" spans="1:75" x14ac:dyDescent="0.2">
      <c r="A72" s="18"/>
      <c r="B72" s="13"/>
      <c r="C72" s="15"/>
      <c r="D72" s="58"/>
      <c r="E72" s="58"/>
      <c r="F72" s="15"/>
      <c r="G72" s="15"/>
      <c r="H72" s="15"/>
      <c r="I72" s="14"/>
      <c r="J72" s="34"/>
      <c r="K72" s="49"/>
      <c r="L72" s="45"/>
      <c r="M72" s="45"/>
      <c r="N72" s="45"/>
      <c r="O72" s="45"/>
      <c r="P72" s="45"/>
      <c r="Q72" s="45"/>
      <c r="R72" s="76"/>
      <c r="S72" s="57"/>
      <c r="T72" s="74"/>
      <c r="U72" s="75"/>
      <c r="V72" s="75"/>
      <c r="W72" s="75"/>
      <c r="X72" s="75"/>
      <c r="Y72" s="75"/>
      <c r="Z72" s="75"/>
      <c r="AA72" s="76"/>
      <c r="AB72" s="77"/>
      <c r="AC72" s="74"/>
      <c r="AD72" s="75"/>
      <c r="AE72" s="75"/>
      <c r="AF72" s="75"/>
      <c r="AG72" s="75"/>
      <c r="AH72" s="75"/>
      <c r="AI72" s="75"/>
      <c r="AJ72" s="75"/>
      <c r="AK72" s="75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</row>
    <row r="73" spans="1:75" x14ac:dyDescent="0.2">
      <c r="B73" s="50"/>
      <c r="C73" s="50"/>
      <c r="D73" s="80"/>
      <c r="E73" s="80"/>
      <c r="F73" s="50"/>
      <c r="G73" s="50"/>
      <c r="H73" s="50"/>
      <c r="I73" s="50"/>
      <c r="J73" s="50"/>
      <c r="K73" s="46"/>
      <c r="L73" s="46"/>
      <c r="M73" s="46"/>
      <c r="N73" s="46"/>
      <c r="O73" s="46"/>
      <c r="P73" s="46"/>
      <c r="Q73" s="46"/>
      <c r="R73" s="46"/>
      <c r="S73" s="50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E73" s="46"/>
      <c r="AF73" s="46"/>
      <c r="AG73" s="48"/>
      <c r="AH73" s="48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</row>
    <row r="74" spans="1:75" x14ac:dyDescent="0.2">
      <c r="B74" s="50"/>
      <c r="C74" s="50"/>
      <c r="D74" s="80"/>
      <c r="E74" s="80"/>
      <c r="F74" s="50"/>
      <c r="G74" s="50"/>
      <c r="H74" s="50"/>
      <c r="I74" s="50"/>
      <c r="J74" s="50"/>
      <c r="K74" s="46"/>
      <c r="L74" s="46"/>
      <c r="M74" s="46"/>
      <c r="N74" s="46"/>
      <c r="O74" s="46"/>
      <c r="P74" s="46"/>
      <c r="Q74" s="46"/>
      <c r="R74" s="46"/>
      <c r="S74" s="50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E74" s="46"/>
      <c r="AF74" s="46"/>
      <c r="AG74" s="48"/>
      <c r="AH74" s="48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</row>
    <row r="75" spans="1:75" x14ac:dyDescent="0.2">
      <c r="B75" s="50"/>
      <c r="C75" s="50"/>
      <c r="D75" s="80"/>
      <c r="E75" s="80"/>
      <c r="F75" s="50"/>
      <c r="G75" s="50"/>
      <c r="H75" s="50"/>
      <c r="I75" s="50"/>
      <c r="J75" s="50"/>
      <c r="K75" s="46"/>
      <c r="L75" s="46"/>
      <c r="M75" s="46"/>
      <c r="N75" s="46"/>
      <c r="O75" s="46"/>
      <c r="P75" s="46"/>
      <c r="Q75" s="46"/>
      <c r="R75" s="46"/>
      <c r="S75" s="50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E75" s="46"/>
      <c r="AF75" s="46"/>
      <c r="AG75" s="48"/>
      <c r="AH75" s="48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</row>
    <row r="76" spans="1:75" x14ac:dyDescent="0.2">
      <c r="B76" s="50"/>
      <c r="C76" s="50"/>
      <c r="D76" s="80"/>
      <c r="E76" s="80"/>
      <c r="F76" s="50"/>
      <c r="G76" s="50"/>
      <c r="H76" s="50"/>
      <c r="I76" s="50"/>
      <c r="J76" s="50"/>
      <c r="K76" s="46"/>
      <c r="L76" s="46"/>
      <c r="M76" s="46"/>
      <c r="N76" s="46"/>
      <c r="O76" s="46"/>
      <c r="P76" s="46"/>
      <c r="Q76" s="46"/>
      <c r="R76" s="46"/>
      <c r="S76" s="50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E76" s="46"/>
      <c r="AF76" s="46"/>
      <c r="AG76" s="48"/>
      <c r="AH76" s="48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</row>
    <row r="77" spans="1:75" x14ac:dyDescent="0.2">
      <c r="B77" s="50"/>
      <c r="C77" s="50"/>
      <c r="D77" s="80"/>
      <c r="E77" s="80"/>
      <c r="F77" s="50"/>
      <c r="G77" s="50"/>
      <c r="H77" s="50"/>
      <c r="I77" s="50"/>
      <c r="J77" s="50"/>
      <c r="K77" s="46"/>
      <c r="L77" s="46"/>
      <c r="M77" s="46"/>
      <c r="N77" s="46"/>
      <c r="O77" s="46"/>
      <c r="P77" s="46"/>
      <c r="Q77" s="46"/>
      <c r="R77" s="46"/>
      <c r="S77" s="50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E77" s="46"/>
      <c r="AF77" s="46"/>
      <c r="AG77" s="48"/>
      <c r="AH77" s="48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</row>
    <row r="78" spans="1:75" x14ac:dyDescent="0.2">
      <c r="B78" s="46"/>
      <c r="C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E78" s="46"/>
      <c r="AF78" s="46"/>
      <c r="AG78" s="48"/>
      <c r="AH78" s="48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</row>
    <row r="79" spans="1:75" x14ac:dyDescent="0.2">
      <c r="B79" s="46"/>
      <c r="C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E79" s="46"/>
      <c r="AF79" s="46"/>
      <c r="AG79" s="48"/>
      <c r="AH79" s="48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</row>
    <row r="80" spans="1:75" x14ac:dyDescent="0.2">
      <c r="B80" s="46"/>
      <c r="C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E80" s="46"/>
      <c r="AF80" s="46"/>
      <c r="AG80" s="48"/>
      <c r="AH80" s="48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</row>
    <row r="81" spans="2:75" x14ac:dyDescent="0.2">
      <c r="B81" s="46"/>
      <c r="C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E81" s="46"/>
      <c r="AF81" s="46"/>
      <c r="AG81" s="48"/>
      <c r="AH81" s="48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</row>
    <row r="82" spans="2:75" x14ac:dyDescent="0.2">
      <c r="B82" s="46"/>
      <c r="C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E82" s="46"/>
      <c r="AF82" s="46"/>
      <c r="AG82" s="48"/>
      <c r="AH82" s="48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</row>
    <row r="83" spans="2:75" x14ac:dyDescent="0.2">
      <c r="B83" s="46"/>
      <c r="C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E83" s="46"/>
      <c r="AF83" s="46"/>
      <c r="AG83" s="48"/>
      <c r="AH83" s="48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</row>
    <row r="84" spans="2:75" x14ac:dyDescent="0.2">
      <c r="B84" s="46"/>
      <c r="C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E84" s="46"/>
      <c r="AF84" s="46"/>
      <c r="AG84" s="48"/>
      <c r="AH84" s="48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  <c r="BQ84" s="46"/>
      <c r="BR84" s="46"/>
      <c r="BS84" s="46"/>
      <c r="BT84" s="46"/>
      <c r="BU84" s="46"/>
      <c r="BV84" s="46"/>
      <c r="BW84" s="46"/>
    </row>
    <row r="85" spans="2:75" x14ac:dyDescent="0.2">
      <c r="B85" s="46"/>
      <c r="C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E85" s="46"/>
      <c r="AF85" s="46"/>
      <c r="AG85" s="48"/>
      <c r="AH85" s="48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  <c r="BP85" s="46"/>
      <c r="BQ85" s="46"/>
      <c r="BR85" s="46"/>
      <c r="BS85" s="46"/>
      <c r="BT85" s="46"/>
      <c r="BU85" s="46"/>
      <c r="BV85" s="46"/>
      <c r="BW85" s="46"/>
    </row>
    <row r="86" spans="2:75" x14ac:dyDescent="0.2">
      <c r="B86" s="46"/>
      <c r="C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E86" s="46"/>
      <c r="AF86" s="46"/>
      <c r="AG86" s="48"/>
      <c r="AH86" s="48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</row>
    <row r="87" spans="2:75" x14ac:dyDescent="0.2">
      <c r="B87" s="46"/>
      <c r="C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E87" s="46"/>
      <c r="AF87" s="46"/>
      <c r="AG87" s="48"/>
      <c r="AH87" s="48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</row>
    <row r="88" spans="2:75" x14ac:dyDescent="0.2">
      <c r="B88" s="46"/>
      <c r="C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E88" s="46"/>
      <c r="AF88" s="46"/>
      <c r="AG88" s="48"/>
      <c r="AH88" s="48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</row>
    <row r="89" spans="2:75" x14ac:dyDescent="0.2">
      <c r="B89" s="46"/>
      <c r="C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E89" s="46"/>
      <c r="AF89" s="46"/>
      <c r="AG89" s="48"/>
      <c r="AH89" s="48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</row>
    <row r="90" spans="2:75" x14ac:dyDescent="0.2">
      <c r="B90" s="46"/>
      <c r="C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E90" s="46"/>
      <c r="AF90" s="46"/>
      <c r="AG90" s="48"/>
      <c r="AH90" s="48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</row>
    <row r="91" spans="2:75" x14ac:dyDescent="0.2">
      <c r="B91" s="46"/>
      <c r="C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E91" s="46"/>
      <c r="AF91" s="46"/>
      <c r="AG91" s="48"/>
      <c r="AH91" s="48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</row>
    <row r="92" spans="2:75" x14ac:dyDescent="0.2">
      <c r="B92" s="46"/>
      <c r="C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E92" s="46"/>
      <c r="AF92" s="46"/>
      <c r="AG92" s="48"/>
      <c r="AH92" s="48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</row>
    <row r="93" spans="2:75" x14ac:dyDescent="0.2">
      <c r="B93" s="46"/>
      <c r="C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E93" s="46"/>
      <c r="AF93" s="46"/>
      <c r="AG93" s="48"/>
      <c r="AH93" s="48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</row>
    <row r="94" spans="2:75" x14ac:dyDescent="0.2">
      <c r="B94" s="46"/>
      <c r="C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E94" s="46"/>
      <c r="AF94" s="46"/>
      <c r="AG94" s="48"/>
      <c r="AH94" s="48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</row>
    <row r="95" spans="2:75" x14ac:dyDescent="0.2">
      <c r="B95" s="46"/>
      <c r="C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E95" s="46"/>
      <c r="AF95" s="46"/>
      <c r="AG95" s="48"/>
      <c r="AH95" s="48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</row>
    <row r="96" spans="2:75" x14ac:dyDescent="0.2">
      <c r="B96" s="46"/>
      <c r="C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E96" s="46"/>
      <c r="AF96" s="46"/>
      <c r="AG96" s="48"/>
      <c r="AH96" s="48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  <c r="BL96" s="46"/>
      <c r="BM96" s="46"/>
      <c r="BN96" s="46"/>
      <c r="BO96" s="46"/>
      <c r="BP96" s="46"/>
      <c r="BQ96" s="46"/>
      <c r="BR96" s="46"/>
      <c r="BS96" s="46"/>
      <c r="BT96" s="46"/>
      <c r="BU96" s="46"/>
      <c r="BV96" s="46"/>
      <c r="BW96" s="46"/>
    </row>
    <row r="97" spans="2:75" x14ac:dyDescent="0.2">
      <c r="B97" s="46"/>
      <c r="C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E97" s="46"/>
      <c r="AF97" s="46"/>
      <c r="AG97" s="48"/>
      <c r="AH97" s="48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  <c r="BP97" s="46"/>
      <c r="BQ97" s="46"/>
      <c r="BR97" s="46"/>
      <c r="BS97" s="46"/>
      <c r="BT97" s="46"/>
      <c r="BU97" s="46"/>
      <c r="BV97" s="46"/>
      <c r="BW97" s="46"/>
    </row>
    <row r="98" spans="2:75" x14ac:dyDescent="0.2">
      <c r="B98" s="46"/>
      <c r="C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E98" s="46"/>
      <c r="AF98" s="46"/>
      <c r="AG98" s="48"/>
      <c r="AH98" s="48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  <c r="BN98" s="46"/>
      <c r="BO98" s="46"/>
      <c r="BP98" s="46"/>
      <c r="BQ98" s="46"/>
      <c r="BR98" s="46"/>
      <c r="BS98" s="46"/>
      <c r="BT98" s="46"/>
      <c r="BU98" s="46"/>
      <c r="BV98" s="46"/>
      <c r="BW98" s="46"/>
    </row>
    <row r="99" spans="2:75" x14ac:dyDescent="0.2">
      <c r="B99" s="46"/>
      <c r="C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E99" s="46"/>
      <c r="AF99" s="46"/>
      <c r="AG99" s="48"/>
      <c r="AH99" s="48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/>
      <c r="BP99" s="46"/>
      <c r="BQ99" s="46"/>
      <c r="BR99" s="46"/>
      <c r="BS99" s="46"/>
      <c r="BT99" s="46"/>
      <c r="BU99" s="46"/>
      <c r="BV99" s="46"/>
      <c r="BW99" s="46"/>
    </row>
    <row r="100" spans="2:75" x14ac:dyDescent="0.2">
      <c r="B100" s="46"/>
      <c r="C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E100" s="46"/>
      <c r="AF100" s="46"/>
      <c r="AG100" s="48"/>
      <c r="AH100" s="48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  <c r="BP100" s="46"/>
      <c r="BQ100" s="46"/>
      <c r="BR100" s="46"/>
      <c r="BS100" s="46"/>
      <c r="BT100" s="46"/>
      <c r="BU100" s="46"/>
      <c r="BV100" s="46"/>
      <c r="BW100" s="46"/>
    </row>
    <row r="101" spans="2:75" x14ac:dyDescent="0.2">
      <c r="B101" s="46"/>
      <c r="C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E101" s="46"/>
      <c r="AF101" s="46"/>
      <c r="AG101" s="48"/>
      <c r="AH101" s="48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  <c r="BO101" s="46"/>
      <c r="BP101" s="46"/>
      <c r="BQ101" s="46"/>
      <c r="BR101" s="46"/>
      <c r="BS101" s="46"/>
      <c r="BT101" s="46"/>
      <c r="BU101" s="46"/>
      <c r="BV101" s="46"/>
      <c r="BW101" s="46"/>
    </row>
    <row r="102" spans="2:75" x14ac:dyDescent="0.2">
      <c r="B102" s="46"/>
      <c r="C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E102" s="46"/>
      <c r="AF102" s="46"/>
      <c r="AG102" s="48"/>
      <c r="AH102" s="48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  <c r="BP102" s="46"/>
      <c r="BQ102" s="46"/>
      <c r="BR102" s="46"/>
      <c r="BS102" s="46"/>
      <c r="BT102" s="46"/>
      <c r="BU102" s="46"/>
      <c r="BV102" s="46"/>
      <c r="BW102" s="46"/>
    </row>
    <row r="103" spans="2:75" x14ac:dyDescent="0.2">
      <c r="B103" s="46"/>
      <c r="C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E103" s="46"/>
      <c r="AF103" s="46"/>
      <c r="AG103" s="48"/>
      <c r="AH103" s="48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46"/>
      <c r="BO103" s="46"/>
      <c r="BP103" s="46"/>
      <c r="BQ103" s="46"/>
      <c r="BR103" s="46"/>
      <c r="BS103" s="46"/>
      <c r="BT103" s="46"/>
      <c r="BU103" s="46"/>
      <c r="BV103" s="46"/>
      <c r="BW103" s="46"/>
    </row>
    <row r="104" spans="2:75" x14ac:dyDescent="0.2">
      <c r="B104" s="46"/>
      <c r="C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E104" s="46"/>
      <c r="AF104" s="46"/>
      <c r="AG104" s="48"/>
      <c r="AH104" s="48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  <c r="BP104" s="46"/>
      <c r="BQ104" s="46"/>
      <c r="BR104" s="46"/>
      <c r="BS104" s="46"/>
      <c r="BT104" s="46"/>
      <c r="BU104" s="46"/>
      <c r="BV104" s="46"/>
      <c r="BW104" s="46"/>
    </row>
    <row r="105" spans="2:75" x14ac:dyDescent="0.2">
      <c r="B105" s="46"/>
      <c r="C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E105" s="46"/>
      <c r="AF105" s="46"/>
      <c r="AG105" s="48"/>
      <c r="AH105" s="48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6"/>
      <c r="BQ105" s="46"/>
      <c r="BR105" s="46"/>
      <c r="BS105" s="46"/>
      <c r="BT105" s="46"/>
      <c r="BU105" s="46"/>
      <c r="BV105" s="46"/>
      <c r="BW105" s="46"/>
    </row>
    <row r="106" spans="2:75" x14ac:dyDescent="0.2">
      <c r="B106" s="46"/>
      <c r="C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E106" s="46"/>
      <c r="AF106" s="46"/>
      <c r="AG106" s="48"/>
      <c r="AH106" s="48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/>
      <c r="BQ106" s="46"/>
      <c r="BR106" s="46"/>
      <c r="BS106" s="46"/>
      <c r="BT106" s="46"/>
      <c r="BU106" s="46"/>
      <c r="BV106" s="46"/>
      <c r="BW106" s="46"/>
    </row>
    <row r="107" spans="2:75" x14ac:dyDescent="0.2">
      <c r="B107" s="46"/>
      <c r="C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E107" s="46"/>
      <c r="AF107" s="46"/>
      <c r="AG107" s="48"/>
      <c r="AH107" s="48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  <c r="BO107" s="46"/>
      <c r="BP107" s="46"/>
      <c r="BQ107" s="46"/>
      <c r="BR107" s="46"/>
      <c r="BS107" s="46"/>
      <c r="BT107" s="46"/>
      <c r="BU107" s="46"/>
      <c r="BV107" s="46"/>
      <c r="BW107" s="46"/>
    </row>
    <row r="108" spans="2:75" x14ac:dyDescent="0.2">
      <c r="B108" s="46"/>
      <c r="C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E108" s="46"/>
      <c r="AF108" s="46"/>
      <c r="AG108" s="48"/>
      <c r="AH108" s="48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  <c r="BP108" s="46"/>
      <c r="BQ108" s="46"/>
      <c r="BR108" s="46"/>
      <c r="BS108" s="46"/>
      <c r="BT108" s="46"/>
      <c r="BU108" s="46"/>
      <c r="BV108" s="46"/>
      <c r="BW108" s="46"/>
    </row>
    <row r="109" spans="2:75" x14ac:dyDescent="0.2">
      <c r="B109" s="46"/>
      <c r="C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E109" s="46"/>
      <c r="AF109" s="46"/>
      <c r="AG109" s="48"/>
      <c r="AH109" s="48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  <c r="BO109" s="46"/>
      <c r="BP109" s="46"/>
      <c r="BQ109" s="46"/>
      <c r="BR109" s="46"/>
      <c r="BS109" s="46"/>
      <c r="BT109" s="46"/>
      <c r="BU109" s="46"/>
      <c r="BV109" s="46"/>
      <c r="BW109" s="46"/>
    </row>
    <row r="110" spans="2:75" x14ac:dyDescent="0.2">
      <c r="B110" s="46"/>
      <c r="C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E110" s="46"/>
      <c r="AF110" s="46"/>
      <c r="AG110" s="48"/>
      <c r="AH110" s="48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46"/>
      <c r="BN110" s="46"/>
      <c r="BO110" s="46"/>
      <c r="BP110" s="46"/>
      <c r="BQ110" s="46"/>
      <c r="BR110" s="46"/>
      <c r="BS110" s="46"/>
      <c r="BT110" s="46"/>
      <c r="BU110" s="46"/>
      <c r="BV110" s="46"/>
      <c r="BW110" s="46"/>
    </row>
    <row r="111" spans="2:75" x14ac:dyDescent="0.2">
      <c r="B111" s="46"/>
      <c r="C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E111" s="46"/>
      <c r="AF111" s="46"/>
      <c r="AG111" s="48"/>
      <c r="AH111" s="48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46"/>
      <c r="BN111" s="46"/>
      <c r="BO111" s="46"/>
      <c r="BP111" s="46"/>
      <c r="BQ111" s="46"/>
      <c r="BR111" s="46"/>
      <c r="BS111" s="46"/>
      <c r="BT111" s="46"/>
      <c r="BU111" s="46"/>
      <c r="BV111" s="46"/>
      <c r="BW111" s="46"/>
    </row>
    <row r="112" spans="2:75" x14ac:dyDescent="0.2">
      <c r="B112" s="46"/>
      <c r="C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E112" s="46"/>
      <c r="AF112" s="46"/>
      <c r="AG112" s="48"/>
      <c r="AH112" s="48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46"/>
      <c r="BN112" s="46"/>
      <c r="BO112" s="46"/>
      <c r="BP112" s="46"/>
      <c r="BQ112" s="46"/>
      <c r="BR112" s="46"/>
      <c r="BS112" s="46"/>
      <c r="BT112" s="46"/>
      <c r="BU112" s="46"/>
      <c r="BV112" s="46"/>
      <c r="BW112" s="46"/>
    </row>
    <row r="113" spans="2:75" x14ac:dyDescent="0.2">
      <c r="B113" s="46"/>
      <c r="C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E113" s="46"/>
      <c r="AF113" s="46"/>
      <c r="AG113" s="48"/>
      <c r="AH113" s="48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46"/>
      <c r="BN113" s="46"/>
      <c r="BO113" s="46"/>
      <c r="BP113" s="46"/>
      <c r="BQ113" s="46"/>
      <c r="BR113" s="46"/>
      <c r="BS113" s="46"/>
      <c r="BT113" s="46"/>
      <c r="BU113" s="46"/>
      <c r="BV113" s="46"/>
      <c r="BW113" s="46"/>
    </row>
    <row r="114" spans="2:75" x14ac:dyDescent="0.2">
      <c r="B114" s="46"/>
      <c r="C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E114" s="46"/>
      <c r="AF114" s="46"/>
      <c r="AG114" s="48"/>
      <c r="AH114" s="48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46"/>
      <c r="BN114" s="46"/>
      <c r="BO114" s="46"/>
      <c r="BP114" s="46"/>
      <c r="BQ114" s="46"/>
      <c r="BR114" s="46"/>
      <c r="BS114" s="46"/>
      <c r="BT114" s="46"/>
      <c r="BU114" s="46"/>
      <c r="BV114" s="46"/>
      <c r="BW114" s="46"/>
    </row>
    <row r="115" spans="2:75" x14ac:dyDescent="0.2">
      <c r="B115" s="46"/>
      <c r="C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E115" s="46"/>
      <c r="AF115" s="46"/>
      <c r="AG115" s="48"/>
      <c r="AH115" s="48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  <c r="BN115" s="46"/>
      <c r="BO115" s="46"/>
      <c r="BP115" s="46"/>
      <c r="BQ115" s="46"/>
      <c r="BR115" s="46"/>
      <c r="BS115" s="46"/>
      <c r="BT115" s="46"/>
      <c r="BU115" s="46"/>
      <c r="BV115" s="46"/>
      <c r="BW115" s="46"/>
    </row>
    <row r="116" spans="2:75" x14ac:dyDescent="0.2">
      <c r="B116" s="46"/>
      <c r="C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E116" s="46"/>
      <c r="AF116" s="46"/>
      <c r="AG116" s="48"/>
      <c r="AH116" s="48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6"/>
      <c r="BJ116" s="46"/>
      <c r="BK116" s="46"/>
      <c r="BL116" s="46"/>
      <c r="BM116" s="46"/>
      <c r="BN116" s="46"/>
      <c r="BO116" s="46"/>
      <c r="BP116" s="46"/>
      <c r="BQ116" s="46"/>
      <c r="BR116" s="46"/>
      <c r="BS116" s="46"/>
      <c r="BT116" s="46"/>
      <c r="BU116" s="46"/>
      <c r="BV116" s="46"/>
      <c r="BW116" s="46"/>
    </row>
    <row r="117" spans="2:75" x14ac:dyDescent="0.2">
      <c r="B117" s="46"/>
      <c r="C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E117" s="46"/>
      <c r="AF117" s="46"/>
      <c r="AG117" s="48"/>
      <c r="AH117" s="48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  <c r="BF117" s="46"/>
      <c r="BG117" s="46"/>
      <c r="BH117" s="46"/>
      <c r="BI117" s="46"/>
      <c r="BJ117" s="46"/>
      <c r="BK117" s="46"/>
      <c r="BL117" s="46"/>
      <c r="BM117" s="46"/>
      <c r="BN117" s="46"/>
      <c r="BO117" s="46"/>
      <c r="BP117" s="46"/>
      <c r="BQ117" s="46"/>
      <c r="BR117" s="46"/>
      <c r="BS117" s="46"/>
      <c r="BT117" s="46"/>
      <c r="BU117" s="46"/>
      <c r="BV117" s="46"/>
      <c r="BW117" s="46"/>
    </row>
    <row r="118" spans="2:75" x14ac:dyDescent="0.2">
      <c r="B118" s="46"/>
      <c r="C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E118" s="46"/>
      <c r="AF118" s="46"/>
      <c r="AG118" s="48"/>
      <c r="AH118" s="48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6"/>
      <c r="BJ118" s="46"/>
      <c r="BK118" s="46"/>
      <c r="BL118" s="46"/>
      <c r="BM118" s="46"/>
      <c r="BN118" s="46"/>
      <c r="BO118" s="46"/>
      <c r="BP118" s="46"/>
      <c r="BQ118" s="46"/>
      <c r="BR118" s="46"/>
      <c r="BS118" s="46"/>
      <c r="BT118" s="46"/>
      <c r="BU118" s="46"/>
      <c r="BV118" s="46"/>
      <c r="BW118" s="46"/>
    </row>
    <row r="119" spans="2:75" x14ac:dyDescent="0.2">
      <c r="B119" s="46"/>
      <c r="C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E119" s="46"/>
      <c r="AF119" s="46"/>
      <c r="AG119" s="48"/>
      <c r="AH119" s="48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46"/>
      <c r="BO119" s="46"/>
      <c r="BP119" s="46"/>
      <c r="BQ119" s="46"/>
      <c r="BR119" s="46"/>
      <c r="BS119" s="46"/>
      <c r="BT119" s="46"/>
      <c r="BU119" s="46"/>
      <c r="BV119" s="46"/>
      <c r="BW119" s="46"/>
    </row>
    <row r="120" spans="2:75" x14ac:dyDescent="0.2">
      <c r="B120" s="46"/>
      <c r="C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E120" s="46"/>
      <c r="AF120" s="46"/>
      <c r="AG120" s="48"/>
      <c r="AH120" s="48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  <c r="BO120" s="46"/>
      <c r="BP120" s="46"/>
      <c r="BQ120" s="46"/>
      <c r="BR120" s="46"/>
      <c r="BS120" s="46"/>
      <c r="BT120" s="46"/>
      <c r="BU120" s="46"/>
      <c r="BV120" s="46"/>
      <c r="BW120" s="46"/>
    </row>
    <row r="121" spans="2:75" x14ac:dyDescent="0.2">
      <c r="B121" s="46"/>
      <c r="C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E121" s="46"/>
      <c r="AF121" s="46"/>
      <c r="AG121" s="48"/>
      <c r="AH121" s="48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  <c r="BD121" s="46"/>
      <c r="BE121" s="46"/>
      <c r="BF121" s="46"/>
      <c r="BG121" s="46"/>
      <c r="BH121" s="46"/>
      <c r="BI121" s="46"/>
      <c r="BJ121" s="46"/>
      <c r="BK121" s="46"/>
      <c r="BL121" s="46"/>
      <c r="BM121" s="46"/>
      <c r="BN121" s="46"/>
      <c r="BO121" s="46"/>
      <c r="BP121" s="46"/>
      <c r="BQ121" s="46"/>
      <c r="BR121" s="46"/>
      <c r="BS121" s="46"/>
      <c r="BT121" s="46"/>
      <c r="BU121" s="46"/>
      <c r="BV121" s="46"/>
      <c r="BW121" s="46"/>
    </row>
    <row r="122" spans="2:75" x14ac:dyDescent="0.2">
      <c r="B122" s="46"/>
      <c r="C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E122" s="46"/>
      <c r="AF122" s="46"/>
      <c r="AG122" s="48"/>
      <c r="AH122" s="48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  <c r="BF122" s="46"/>
      <c r="BG122" s="46"/>
      <c r="BH122" s="46"/>
      <c r="BI122" s="46"/>
      <c r="BJ122" s="46"/>
      <c r="BK122" s="46"/>
      <c r="BL122" s="46"/>
      <c r="BM122" s="46"/>
      <c r="BN122" s="46"/>
      <c r="BO122" s="46"/>
      <c r="BP122" s="46"/>
      <c r="BQ122" s="46"/>
      <c r="BR122" s="46"/>
      <c r="BS122" s="46"/>
      <c r="BT122" s="46"/>
      <c r="BU122" s="46"/>
      <c r="BV122" s="46"/>
      <c r="BW122" s="46"/>
    </row>
    <row r="123" spans="2:75" x14ac:dyDescent="0.2">
      <c r="B123" s="46"/>
      <c r="C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E123" s="46"/>
      <c r="AF123" s="46"/>
      <c r="AG123" s="48"/>
      <c r="AH123" s="48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  <c r="BA123" s="46"/>
      <c r="BB123" s="46"/>
      <c r="BC123" s="46"/>
      <c r="BD123" s="46"/>
      <c r="BE123" s="46"/>
      <c r="BF123" s="46"/>
      <c r="BG123" s="46"/>
      <c r="BH123" s="46"/>
      <c r="BI123" s="46"/>
      <c r="BJ123" s="46"/>
      <c r="BK123" s="46"/>
      <c r="BL123" s="46"/>
      <c r="BM123" s="46"/>
      <c r="BN123" s="46"/>
      <c r="BO123" s="46"/>
      <c r="BP123" s="46"/>
      <c r="BQ123" s="46"/>
      <c r="BR123" s="46"/>
      <c r="BS123" s="46"/>
      <c r="BT123" s="46"/>
      <c r="BU123" s="46"/>
      <c r="BV123" s="46"/>
      <c r="BW123" s="46"/>
    </row>
    <row r="124" spans="2:75" x14ac:dyDescent="0.2">
      <c r="B124" s="46"/>
      <c r="C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E124" s="46"/>
      <c r="AF124" s="46"/>
      <c r="AG124" s="48"/>
      <c r="AH124" s="48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46"/>
      <c r="BB124" s="46"/>
      <c r="BC124" s="46"/>
      <c r="BD124" s="46"/>
      <c r="BE124" s="46"/>
      <c r="BF124" s="46"/>
      <c r="BG124" s="46"/>
      <c r="BH124" s="46"/>
      <c r="BI124" s="46"/>
      <c r="BJ124" s="46"/>
      <c r="BK124" s="46"/>
      <c r="BL124" s="46"/>
      <c r="BM124" s="46"/>
      <c r="BN124" s="46"/>
      <c r="BO124" s="46"/>
      <c r="BP124" s="46"/>
      <c r="BQ124" s="46"/>
      <c r="BR124" s="46"/>
      <c r="BS124" s="46"/>
      <c r="BT124" s="46"/>
      <c r="BU124" s="46"/>
      <c r="BV124" s="46"/>
      <c r="BW124" s="46"/>
    </row>
    <row r="125" spans="2:75" x14ac:dyDescent="0.2">
      <c r="B125" s="46"/>
      <c r="C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E125" s="46"/>
      <c r="AF125" s="46"/>
      <c r="AG125" s="48"/>
      <c r="AH125" s="48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6"/>
      <c r="BJ125" s="46"/>
      <c r="BK125" s="46"/>
      <c r="BL125" s="46"/>
      <c r="BM125" s="46"/>
      <c r="BN125" s="46"/>
      <c r="BO125" s="46"/>
      <c r="BP125" s="46"/>
      <c r="BQ125" s="46"/>
      <c r="BR125" s="46"/>
      <c r="BS125" s="46"/>
      <c r="BT125" s="46"/>
      <c r="BU125" s="46"/>
      <c r="BV125" s="46"/>
      <c r="BW125" s="46"/>
    </row>
    <row r="126" spans="2:75" x14ac:dyDescent="0.2">
      <c r="B126" s="46"/>
      <c r="C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E126" s="46"/>
      <c r="AF126" s="46"/>
      <c r="AG126" s="48"/>
      <c r="AH126" s="48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  <c r="BC126" s="46"/>
      <c r="BD126" s="46"/>
      <c r="BE126" s="46"/>
      <c r="BF126" s="46"/>
      <c r="BG126" s="46"/>
      <c r="BH126" s="46"/>
      <c r="BI126" s="46"/>
      <c r="BJ126" s="46"/>
      <c r="BK126" s="46"/>
      <c r="BL126" s="46"/>
      <c r="BM126" s="46"/>
      <c r="BN126" s="46"/>
      <c r="BO126" s="46"/>
      <c r="BP126" s="46"/>
      <c r="BQ126" s="46"/>
      <c r="BR126" s="46"/>
      <c r="BS126" s="46"/>
      <c r="BT126" s="46"/>
      <c r="BU126" s="46"/>
      <c r="BV126" s="46"/>
      <c r="BW126" s="46"/>
    </row>
    <row r="127" spans="2:75" x14ac:dyDescent="0.2">
      <c r="B127" s="46"/>
      <c r="C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E127" s="46"/>
      <c r="AF127" s="46"/>
      <c r="AG127" s="48"/>
      <c r="AH127" s="48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  <c r="BJ127" s="46"/>
      <c r="BK127" s="46"/>
      <c r="BL127" s="46"/>
      <c r="BM127" s="46"/>
      <c r="BN127" s="46"/>
      <c r="BO127" s="46"/>
      <c r="BP127" s="46"/>
      <c r="BQ127" s="46"/>
      <c r="BR127" s="46"/>
      <c r="BS127" s="46"/>
      <c r="BT127" s="46"/>
      <c r="BU127" s="46"/>
      <c r="BV127" s="46"/>
      <c r="BW127" s="46"/>
    </row>
    <row r="128" spans="2:75" x14ac:dyDescent="0.2">
      <c r="B128" s="46"/>
      <c r="C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E128" s="46"/>
      <c r="AF128" s="46"/>
      <c r="AG128" s="48"/>
      <c r="AH128" s="48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46"/>
      <c r="BG128" s="46"/>
      <c r="BH128" s="46"/>
      <c r="BI128" s="46"/>
      <c r="BJ128" s="46"/>
      <c r="BK128" s="46"/>
      <c r="BL128" s="46"/>
      <c r="BM128" s="46"/>
      <c r="BN128" s="46"/>
      <c r="BO128" s="46"/>
      <c r="BP128" s="46"/>
      <c r="BQ128" s="46"/>
      <c r="BR128" s="46"/>
      <c r="BS128" s="46"/>
      <c r="BT128" s="46"/>
      <c r="BU128" s="46"/>
      <c r="BV128" s="46"/>
      <c r="BW128" s="46"/>
    </row>
    <row r="129" spans="2:75" x14ac:dyDescent="0.2">
      <c r="B129" s="46"/>
      <c r="C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E129" s="46"/>
      <c r="AF129" s="46"/>
      <c r="AG129" s="48"/>
      <c r="AH129" s="48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  <c r="BF129" s="46"/>
      <c r="BG129" s="46"/>
      <c r="BH129" s="46"/>
      <c r="BI129" s="46"/>
      <c r="BJ129" s="46"/>
      <c r="BK129" s="46"/>
      <c r="BL129" s="46"/>
      <c r="BM129" s="46"/>
      <c r="BN129" s="46"/>
      <c r="BO129" s="46"/>
      <c r="BP129" s="46"/>
      <c r="BQ129" s="46"/>
      <c r="BR129" s="46"/>
      <c r="BS129" s="46"/>
      <c r="BT129" s="46"/>
      <c r="BU129" s="46"/>
      <c r="BV129" s="46"/>
      <c r="BW129" s="46"/>
    </row>
    <row r="130" spans="2:75" x14ac:dyDescent="0.2">
      <c r="B130" s="46"/>
      <c r="C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E130" s="46"/>
      <c r="AF130" s="46"/>
      <c r="AG130" s="48"/>
      <c r="AH130" s="48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46"/>
      <c r="BH130" s="46"/>
      <c r="BI130" s="46"/>
      <c r="BJ130" s="46"/>
      <c r="BK130" s="46"/>
      <c r="BL130" s="46"/>
      <c r="BM130" s="46"/>
      <c r="BN130" s="46"/>
      <c r="BO130" s="46"/>
      <c r="BP130" s="46"/>
      <c r="BQ130" s="46"/>
      <c r="BR130" s="46"/>
      <c r="BS130" s="46"/>
      <c r="BT130" s="46"/>
      <c r="BU130" s="46"/>
      <c r="BV130" s="46"/>
      <c r="BW130" s="46"/>
    </row>
    <row r="131" spans="2:75" x14ac:dyDescent="0.2">
      <c r="B131" s="46"/>
      <c r="C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E131" s="46"/>
      <c r="AF131" s="46"/>
      <c r="AG131" s="48"/>
      <c r="AH131" s="48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  <c r="BF131" s="46"/>
      <c r="BG131" s="46"/>
      <c r="BH131" s="46"/>
      <c r="BI131" s="46"/>
      <c r="BJ131" s="46"/>
      <c r="BK131" s="46"/>
      <c r="BL131" s="46"/>
      <c r="BM131" s="46"/>
      <c r="BN131" s="46"/>
      <c r="BO131" s="46"/>
      <c r="BP131" s="46"/>
      <c r="BQ131" s="46"/>
      <c r="BR131" s="46"/>
      <c r="BS131" s="46"/>
      <c r="BT131" s="46"/>
      <c r="BU131" s="46"/>
      <c r="BV131" s="46"/>
      <c r="BW131" s="46"/>
    </row>
    <row r="132" spans="2:75" x14ac:dyDescent="0.2">
      <c r="B132" s="46"/>
      <c r="C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E132" s="46"/>
      <c r="AF132" s="46"/>
      <c r="AG132" s="48"/>
      <c r="AH132" s="48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  <c r="BE132" s="46"/>
      <c r="BF132" s="46"/>
      <c r="BG132" s="46"/>
      <c r="BH132" s="46"/>
      <c r="BI132" s="46"/>
      <c r="BJ132" s="46"/>
      <c r="BK132" s="46"/>
      <c r="BL132" s="46"/>
      <c r="BM132" s="46"/>
      <c r="BN132" s="46"/>
      <c r="BO132" s="46"/>
      <c r="BP132" s="46"/>
      <c r="BQ132" s="46"/>
      <c r="BR132" s="46"/>
      <c r="BS132" s="46"/>
      <c r="BT132" s="46"/>
      <c r="BU132" s="46"/>
      <c r="BV132" s="46"/>
      <c r="BW132" s="46"/>
    </row>
    <row r="133" spans="2:75" x14ac:dyDescent="0.2">
      <c r="B133" s="46"/>
      <c r="C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E133" s="46"/>
      <c r="AF133" s="46"/>
      <c r="AG133" s="48"/>
      <c r="AH133" s="48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  <c r="BD133" s="46"/>
      <c r="BE133" s="46"/>
      <c r="BF133" s="46"/>
      <c r="BG133" s="46"/>
      <c r="BH133" s="46"/>
      <c r="BI133" s="46"/>
      <c r="BJ133" s="46"/>
      <c r="BK133" s="46"/>
      <c r="BL133" s="46"/>
      <c r="BM133" s="46"/>
      <c r="BN133" s="46"/>
      <c r="BO133" s="46"/>
      <c r="BP133" s="46"/>
      <c r="BQ133" s="46"/>
      <c r="BR133" s="46"/>
      <c r="BS133" s="46"/>
      <c r="BT133" s="46"/>
      <c r="BU133" s="46"/>
      <c r="BV133" s="46"/>
      <c r="BW133" s="46"/>
    </row>
    <row r="134" spans="2:75" x14ac:dyDescent="0.2">
      <c r="B134" s="46"/>
      <c r="C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E134" s="46"/>
      <c r="AF134" s="46"/>
      <c r="AG134" s="48"/>
      <c r="AH134" s="48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  <c r="BD134" s="46"/>
      <c r="BE134" s="46"/>
      <c r="BF134" s="46"/>
      <c r="BG134" s="46"/>
      <c r="BH134" s="46"/>
      <c r="BI134" s="46"/>
      <c r="BJ134" s="46"/>
      <c r="BK134" s="46"/>
      <c r="BL134" s="46"/>
      <c r="BM134" s="46"/>
      <c r="BN134" s="46"/>
      <c r="BO134" s="46"/>
      <c r="BP134" s="46"/>
      <c r="BQ134" s="46"/>
      <c r="BR134" s="46"/>
      <c r="BS134" s="46"/>
      <c r="BT134" s="46"/>
      <c r="BU134" s="46"/>
      <c r="BV134" s="46"/>
      <c r="BW134" s="46"/>
    </row>
    <row r="135" spans="2:75" x14ac:dyDescent="0.2">
      <c r="B135" s="46"/>
      <c r="C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E135" s="46"/>
      <c r="AF135" s="46"/>
      <c r="AG135" s="48"/>
      <c r="AH135" s="48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  <c r="BD135" s="46"/>
      <c r="BE135" s="46"/>
      <c r="BF135" s="46"/>
      <c r="BG135" s="46"/>
      <c r="BH135" s="46"/>
      <c r="BI135" s="46"/>
      <c r="BJ135" s="46"/>
      <c r="BK135" s="46"/>
      <c r="BL135" s="46"/>
      <c r="BM135" s="46"/>
      <c r="BN135" s="46"/>
      <c r="BO135" s="46"/>
      <c r="BP135" s="46"/>
      <c r="BQ135" s="46"/>
      <c r="BR135" s="46"/>
      <c r="BS135" s="46"/>
      <c r="BT135" s="46"/>
      <c r="BU135" s="46"/>
      <c r="BV135" s="46"/>
      <c r="BW135" s="46"/>
    </row>
    <row r="136" spans="2:75" x14ac:dyDescent="0.2">
      <c r="B136" s="46"/>
      <c r="C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E136" s="46"/>
      <c r="AF136" s="46"/>
      <c r="AG136" s="48"/>
      <c r="AH136" s="48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  <c r="BF136" s="46"/>
      <c r="BG136" s="46"/>
      <c r="BH136" s="46"/>
      <c r="BI136" s="46"/>
      <c r="BJ136" s="46"/>
      <c r="BK136" s="46"/>
      <c r="BL136" s="46"/>
      <c r="BM136" s="46"/>
      <c r="BN136" s="46"/>
      <c r="BO136" s="46"/>
      <c r="BP136" s="46"/>
      <c r="BQ136" s="46"/>
      <c r="BR136" s="46"/>
      <c r="BS136" s="46"/>
      <c r="BT136" s="46"/>
      <c r="BU136" s="46"/>
      <c r="BV136" s="46"/>
      <c r="BW136" s="46"/>
    </row>
    <row r="137" spans="2:75" x14ac:dyDescent="0.2">
      <c r="B137" s="46"/>
      <c r="C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E137" s="46"/>
      <c r="AF137" s="46"/>
      <c r="AG137" s="48"/>
      <c r="AH137" s="48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  <c r="BD137" s="46"/>
      <c r="BE137" s="46"/>
      <c r="BF137" s="46"/>
      <c r="BG137" s="46"/>
      <c r="BH137" s="46"/>
      <c r="BI137" s="46"/>
      <c r="BJ137" s="46"/>
      <c r="BK137" s="46"/>
      <c r="BL137" s="46"/>
      <c r="BM137" s="46"/>
      <c r="BN137" s="46"/>
      <c r="BO137" s="46"/>
      <c r="BP137" s="46"/>
      <c r="BQ137" s="46"/>
      <c r="BR137" s="46"/>
      <c r="BS137" s="46"/>
      <c r="BT137" s="46"/>
      <c r="BU137" s="46"/>
      <c r="BV137" s="46"/>
      <c r="BW137" s="46"/>
    </row>
    <row r="138" spans="2:75" x14ac:dyDescent="0.2">
      <c r="B138" s="46"/>
      <c r="C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E138" s="46"/>
      <c r="AF138" s="46"/>
      <c r="AG138" s="48"/>
      <c r="AH138" s="48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  <c r="BA138" s="46"/>
      <c r="BB138" s="46"/>
      <c r="BC138" s="46"/>
      <c r="BD138" s="46"/>
      <c r="BE138" s="46"/>
      <c r="BF138" s="46"/>
      <c r="BG138" s="46"/>
      <c r="BH138" s="46"/>
      <c r="BI138" s="46"/>
      <c r="BJ138" s="46"/>
      <c r="BK138" s="46"/>
      <c r="BL138" s="46"/>
      <c r="BM138" s="46"/>
      <c r="BN138" s="46"/>
      <c r="BO138" s="46"/>
      <c r="BP138" s="46"/>
      <c r="BQ138" s="46"/>
      <c r="BR138" s="46"/>
      <c r="BS138" s="46"/>
      <c r="BT138" s="46"/>
      <c r="BU138" s="46"/>
      <c r="BV138" s="46"/>
      <c r="BW138" s="46"/>
    </row>
    <row r="139" spans="2:75" x14ac:dyDescent="0.2">
      <c r="B139" s="46"/>
      <c r="C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E139" s="46"/>
      <c r="AF139" s="46"/>
      <c r="AG139" s="48"/>
      <c r="AH139" s="48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  <c r="BO139" s="46"/>
      <c r="BP139" s="46"/>
      <c r="BQ139" s="46"/>
      <c r="BR139" s="46"/>
      <c r="BS139" s="46"/>
      <c r="BT139" s="46"/>
      <c r="BU139" s="46"/>
      <c r="BV139" s="46"/>
      <c r="BW139" s="46"/>
    </row>
    <row r="140" spans="2:75" x14ac:dyDescent="0.2">
      <c r="B140" s="46"/>
      <c r="C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E140" s="46"/>
      <c r="AF140" s="46"/>
      <c r="AG140" s="48"/>
      <c r="AH140" s="48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  <c r="BB140" s="46"/>
      <c r="BC140" s="46"/>
      <c r="BD140" s="46"/>
      <c r="BE140" s="46"/>
      <c r="BF140" s="46"/>
      <c r="BG140" s="46"/>
      <c r="BH140" s="46"/>
      <c r="BI140" s="46"/>
      <c r="BJ140" s="46"/>
      <c r="BK140" s="46"/>
      <c r="BL140" s="46"/>
      <c r="BM140" s="46"/>
      <c r="BN140" s="46"/>
      <c r="BO140" s="46"/>
      <c r="BP140" s="46"/>
      <c r="BQ140" s="46"/>
      <c r="BR140" s="46"/>
      <c r="BS140" s="46"/>
      <c r="BT140" s="46"/>
      <c r="BU140" s="46"/>
      <c r="BV140" s="46"/>
      <c r="BW140" s="46"/>
    </row>
    <row r="141" spans="2:75" x14ac:dyDescent="0.2">
      <c r="B141" s="46"/>
      <c r="C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E141" s="46"/>
      <c r="AF141" s="46"/>
      <c r="AG141" s="48"/>
      <c r="AH141" s="48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  <c r="BA141" s="46"/>
      <c r="BB141" s="46"/>
      <c r="BC141" s="46"/>
      <c r="BD141" s="46"/>
      <c r="BE141" s="46"/>
      <c r="BF141" s="46"/>
      <c r="BG141" s="46"/>
      <c r="BH141" s="46"/>
      <c r="BI141" s="46"/>
      <c r="BJ141" s="46"/>
      <c r="BK141" s="46"/>
      <c r="BL141" s="46"/>
      <c r="BM141" s="46"/>
      <c r="BN141" s="46"/>
      <c r="BO141" s="46"/>
      <c r="BP141" s="46"/>
      <c r="BQ141" s="46"/>
      <c r="BR141" s="46"/>
      <c r="BS141" s="46"/>
      <c r="BT141" s="46"/>
      <c r="BU141" s="46"/>
      <c r="BV141" s="46"/>
      <c r="BW141" s="46"/>
    </row>
    <row r="142" spans="2:75" x14ac:dyDescent="0.2">
      <c r="B142" s="46"/>
      <c r="C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E142" s="46"/>
      <c r="AF142" s="46"/>
      <c r="AG142" s="48"/>
      <c r="AH142" s="48"/>
      <c r="AI142" s="46"/>
      <c r="AJ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  <c r="BA142" s="46"/>
      <c r="BB142" s="46"/>
      <c r="BC142" s="46"/>
      <c r="BD142" s="46"/>
      <c r="BE142" s="46"/>
      <c r="BF142" s="46"/>
      <c r="BG142" s="46"/>
      <c r="BH142" s="46"/>
      <c r="BI142" s="46"/>
      <c r="BJ142" s="46"/>
      <c r="BK142" s="46"/>
      <c r="BL142" s="46"/>
      <c r="BM142" s="46"/>
      <c r="BN142" s="46"/>
      <c r="BO142" s="46"/>
      <c r="BP142" s="46"/>
      <c r="BQ142" s="46"/>
      <c r="BR142" s="46"/>
      <c r="BS142" s="46"/>
      <c r="BT142" s="46"/>
      <c r="BU142" s="46"/>
      <c r="BV142" s="46"/>
      <c r="BW142" s="46"/>
    </row>
    <row r="143" spans="2:75" x14ac:dyDescent="0.2">
      <c r="B143" s="46"/>
      <c r="C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E143" s="46"/>
      <c r="AF143" s="46"/>
      <c r="AG143" s="48"/>
      <c r="AH143" s="48"/>
      <c r="AI143" s="46"/>
      <c r="AJ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  <c r="BA143" s="46"/>
      <c r="BB143" s="46"/>
      <c r="BC143" s="46"/>
      <c r="BD143" s="46"/>
      <c r="BE143" s="46"/>
      <c r="BF143" s="46"/>
      <c r="BG143" s="46"/>
      <c r="BH143" s="46"/>
      <c r="BI143" s="46"/>
      <c r="BJ143" s="46"/>
      <c r="BK143" s="46"/>
      <c r="BL143" s="46"/>
      <c r="BM143" s="46"/>
      <c r="BN143" s="46"/>
      <c r="BO143" s="46"/>
      <c r="BP143" s="46"/>
      <c r="BQ143" s="46"/>
      <c r="BR143" s="46"/>
      <c r="BS143" s="46"/>
      <c r="BT143" s="46"/>
      <c r="BU143" s="46"/>
      <c r="BV143" s="46"/>
      <c r="BW143" s="46"/>
    </row>
    <row r="144" spans="2:75" x14ac:dyDescent="0.2">
      <c r="B144" s="46"/>
      <c r="C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E144" s="46"/>
      <c r="AF144" s="46"/>
      <c r="AG144" s="48"/>
      <c r="AH144" s="48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  <c r="BA144" s="46"/>
      <c r="BB144" s="46"/>
      <c r="BC144" s="46"/>
      <c r="BD144" s="46"/>
      <c r="BE144" s="46"/>
      <c r="BF144" s="46"/>
      <c r="BG144" s="46"/>
      <c r="BH144" s="46"/>
      <c r="BI144" s="46"/>
      <c r="BJ144" s="46"/>
      <c r="BK144" s="46"/>
      <c r="BL144" s="46"/>
      <c r="BM144" s="46"/>
      <c r="BN144" s="46"/>
      <c r="BO144" s="46"/>
      <c r="BP144" s="46"/>
      <c r="BQ144" s="46"/>
      <c r="BR144" s="46"/>
      <c r="BS144" s="46"/>
      <c r="BT144" s="46"/>
      <c r="BU144" s="46"/>
      <c r="BV144" s="46"/>
      <c r="BW144" s="46"/>
    </row>
    <row r="145" spans="2:75" x14ac:dyDescent="0.2">
      <c r="B145" s="46"/>
      <c r="C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E145" s="46"/>
      <c r="AF145" s="46"/>
      <c r="AG145" s="48"/>
      <c r="AH145" s="48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  <c r="BA145" s="46"/>
      <c r="BB145" s="46"/>
      <c r="BC145" s="46"/>
      <c r="BD145" s="46"/>
      <c r="BE145" s="46"/>
      <c r="BF145" s="46"/>
      <c r="BG145" s="46"/>
      <c r="BH145" s="46"/>
      <c r="BI145" s="46"/>
      <c r="BJ145" s="46"/>
      <c r="BK145" s="46"/>
      <c r="BL145" s="46"/>
      <c r="BM145" s="46"/>
      <c r="BN145" s="46"/>
      <c r="BO145" s="46"/>
      <c r="BP145" s="46"/>
      <c r="BQ145" s="46"/>
      <c r="BR145" s="46"/>
      <c r="BS145" s="46"/>
      <c r="BT145" s="46"/>
      <c r="BU145" s="46"/>
      <c r="BV145" s="46"/>
      <c r="BW145" s="46"/>
    </row>
    <row r="146" spans="2:75" x14ac:dyDescent="0.2">
      <c r="B146" s="46"/>
      <c r="C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E146" s="46"/>
      <c r="AF146" s="46"/>
      <c r="AG146" s="48"/>
      <c r="AH146" s="48"/>
      <c r="AI146" s="46"/>
      <c r="AJ146" s="46"/>
      <c r="AK146" s="46"/>
      <c r="AL146" s="46"/>
      <c r="AM146" s="46"/>
      <c r="AN146" s="46"/>
      <c r="AO146" s="46"/>
      <c r="AP146" s="46"/>
      <c r="AQ146" s="46"/>
      <c r="AR146" s="46"/>
      <c r="AS146" s="46"/>
      <c r="AT146" s="46"/>
      <c r="AU146" s="46"/>
      <c r="AV146" s="46"/>
      <c r="AW146" s="46"/>
      <c r="AX146" s="46"/>
      <c r="AY146" s="46"/>
      <c r="AZ146" s="46"/>
      <c r="BA146" s="46"/>
      <c r="BB146" s="46"/>
      <c r="BC146" s="46"/>
      <c r="BD146" s="46"/>
      <c r="BE146" s="46"/>
      <c r="BF146" s="46"/>
      <c r="BG146" s="46"/>
      <c r="BH146" s="46"/>
      <c r="BI146" s="46"/>
      <c r="BJ146" s="46"/>
      <c r="BK146" s="46"/>
      <c r="BL146" s="46"/>
      <c r="BM146" s="46"/>
      <c r="BN146" s="46"/>
      <c r="BO146" s="46"/>
      <c r="BP146" s="46"/>
      <c r="BQ146" s="46"/>
      <c r="BR146" s="46"/>
      <c r="BS146" s="46"/>
      <c r="BT146" s="46"/>
      <c r="BU146" s="46"/>
      <c r="BV146" s="46"/>
      <c r="BW146" s="46"/>
    </row>
    <row r="147" spans="2:75" x14ac:dyDescent="0.2">
      <c r="B147" s="46"/>
      <c r="C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E147" s="46"/>
      <c r="AF147" s="46"/>
      <c r="AG147" s="48"/>
      <c r="AH147" s="48"/>
      <c r="AI147" s="46"/>
      <c r="AJ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  <c r="AW147" s="46"/>
      <c r="AX147" s="46"/>
      <c r="AY147" s="46"/>
      <c r="AZ147" s="46"/>
      <c r="BA147" s="46"/>
      <c r="BB147" s="46"/>
      <c r="BC147" s="46"/>
      <c r="BD147" s="46"/>
      <c r="BE147" s="46"/>
      <c r="BF147" s="46"/>
      <c r="BG147" s="46"/>
      <c r="BH147" s="46"/>
      <c r="BI147" s="46"/>
      <c r="BJ147" s="46"/>
      <c r="BK147" s="46"/>
      <c r="BL147" s="46"/>
      <c r="BM147" s="46"/>
      <c r="BN147" s="46"/>
      <c r="BO147" s="46"/>
      <c r="BP147" s="46"/>
      <c r="BQ147" s="46"/>
      <c r="BR147" s="46"/>
      <c r="BS147" s="46"/>
      <c r="BT147" s="46"/>
      <c r="BU147" s="46"/>
      <c r="BV147" s="46"/>
      <c r="BW147" s="46"/>
    </row>
    <row r="148" spans="2:75" x14ac:dyDescent="0.2">
      <c r="B148" s="46"/>
      <c r="C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E148" s="46"/>
      <c r="AF148" s="46"/>
      <c r="AG148" s="48"/>
      <c r="AH148" s="48"/>
      <c r="AI148" s="46"/>
      <c r="AJ148" s="46"/>
      <c r="AK148" s="46"/>
      <c r="AL148" s="46"/>
      <c r="AM148" s="46"/>
      <c r="AN148" s="46"/>
      <c r="AO148" s="46"/>
      <c r="AP148" s="46"/>
      <c r="AQ148" s="46"/>
      <c r="AR148" s="46"/>
      <c r="AS148" s="46"/>
      <c r="AT148" s="46"/>
      <c r="AU148" s="46"/>
      <c r="AV148" s="46"/>
      <c r="AW148" s="46"/>
      <c r="AX148" s="46"/>
      <c r="AY148" s="46"/>
      <c r="AZ148" s="46"/>
      <c r="BA148" s="46"/>
      <c r="BB148" s="46"/>
      <c r="BC148" s="46"/>
      <c r="BD148" s="46"/>
      <c r="BE148" s="46"/>
      <c r="BF148" s="46"/>
      <c r="BG148" s="46"/>
      <c r="BH148" s="46"/>
      <c r="BI148" s="46"/>
      <c r="BJ148" s="46"/>
      <c r="BK148" s="46"/>
      <c r="BL148" s="46"/>
      <c r="BM148" s="46"/>
      <c r="BN148" s="46"/>
      <c r="BO148" s="46"/>
      <c r="BP148" s="46"/>
      <c r="BQ148" s="46"/>
      <c r="BR148" s="46"/>
      <c r="BS148" s="46"/>
      <c r="BT148" s="46"/>
      <c r="BU148" s="46"/>
      <c r="BV148" s="46"/>
      <c r="BW148" s="46"/>
    </row>
    <row r="149" spans="2:75" x14ac:dyDescent="0.2">
      <c r="B149" s="46"/>
      <c r="C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E149" s="46"/>
      <c r="AF149" s="46"/>
      <c r="AG149" s="48"/>
      <c r="AH149" s="48"/>
      <c r="AI149" s="46"/>
      <c r="AJ149" s="46"/>
      <c r="AK149" s="46"/>
      <c r="AL149" s="46"/>
      <c r="AM149" s="46"/>
      <c r="AN149" s="46"/>
      <c r="AO149" s="46"/>
      <c r="AP149" s="46"/>
      <c r="AQ149" s="46"/>
      <c r="AR149" s="46"/>
      <c r="AS149" s="46"/>
      <c r="AT149" s="46"/>
      <c r="AU149" s="46"/>
      <c r="AV149" s="46"/>
      <c r="AW149" s="46"/>
      <c r="AX149" s="46"/>
      <c r="AY149" s="46"/>
      <c r="AZ149" s="46"/>
      <c r="BA149" s="46"/>
      <c r="BB149" s="46"/>
      <c r="BC149" s="46"/>
      <c r="BD149" s="46"/>
      <c r="BE149" s="46"/>
      <c r="BF149" s="46"/>
      <c r="BG149" s="46"/>
      <c r="BH149" s="46"/>
      <c r="BI149" s="46"/>
      <c r="BJ149" s="46"/>
      <c r="BK149" s="46"/>
      <c r="BL149" s="46"/>
      <c r="BM149" s="46"/>
      <c r="BN149" s="46"/>
      <c r="BO149" s="46"/>
      <c r="BP149" s="46"/>
      <c r="BQ149" s="46"/>
      <c r="BR149" s="46"/>
      <c r="BS149" s="46"/>
      <c r="BT149" s="46"/>
      <c r="BU149" s="46"/>
      <c r="BV149" s="46"/>
      <c r="BW149" s="46"/>
    </row>
    <row r="150" spans="2:75" x14ac:dyDescent="0.2">
      <c r="B150" s="46"/>
      <c r="C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E150" s="46"/>
      <c r="AF150" s="46"/>
      <c r="AG150" s="48"/>
      <c r="AH150" s="48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46"/>
      <c r="BO150" s="46"/>
      <c r="BP150" s="46"/>
      <c r="BQ150" s="46"/>
      <c r="BR150" s="46"/>
      <c r="BS150" s="46"/>
      <c r="BT150" s="46"/>
      <c r="BU150" s="46"/>
      <c r="BV150" s="46"/>
      <c r="BW150" s="46"/>
    </row>
    <row r="151" spans="2:75" x14ac:dyDescent="0.2">
      <c r="B151" s="46"/>
      <c r="C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E151" s="46"/>
      <c r="AF151" s="46"/>
      <c r="AG151" s="48"/>
      <c r="AH151" s="48"/>
      <c r="AI151" s="46"/>
      <c r="AJ151" s="46"/>
      <c r="AK151" s="46"/>
      <c r="AL151" s="46"/>
      <c r="AM151" s="46"/>
      <c r="AN151" s="46"/>
      <c r="AO151" s="46"/>
      <c r="AP151" s="46"/>
      <c r="AQ151" s="46"/>
      <c r="AR151" s="46"/>
      <c r="AS151" s="46"/>
      <c r="AT151" s="46"/>
      <c r="AU151" s="46"/>
      <c r="AV151" s="46"/>
      <c r="AW151" s="46"/>
      <c r="AX151" s="46"/>
      <c r="AY151" s="46"/>
      <c r="AZ151" s="46"/>
      <c r="BA151" s="46"/>
      <c r="BB151" s="46"/>
      <c r="BC151" s="46"/>
      <c r="BD151" s="46"/>
      <c r="BE151" s="46"/>
      <c r="BF151" s="46"/>
      <c r="BG151" s="46"/>
      <c r="BH151" s="46"/>
      <c r="BI151" s="46"/>
      <c r="BJ151" s="46"/>
      <c r="BK151" s="46"/>
      <c r="BL151" s="46"/>
      <c r="BM151" s="46"/>
      <c r="BN151" s="46"/>
      <c r="BO151" s="46"/>
      <c r="BP151" s="46"/>
      <c r="BQ151" s="46"/>
      <c r="BR151" s="46"/>
      <c r="BS151" s="46"/>
      <c r="BT151" s="46"/>
      <c r="BU151" s="46"/>
      <c r="BV151" s="46"/>
      <c r="BW151" s="46"/>
    </row>
    <row r="152" spans="2:75" x14ac:dyDescent="0.2">
      <c r="B152" s="46"/>
      <c r="C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E152" s="46"/>
      <c r="AF152" s="46"/>
      <c r="AG152" s="48"/>
      <c r="AH152" s="48"/>
      <c r="AI152" s="46"/>
      <c r="AJ152" s="46"/>
      <c r="AK152" s="46"/>
      <c r="AL152" s="46"/>
      <c r="AM152" s="46"/>
      <c r="AN152" s="46"/>
      <c r="AO152" s="46"/>
      <c r="AP152" s="46"/>
      <c r="AQ152" s="46"/>
      <c r="AR152" s="46"/>
      <c r="AS152" s="46"/>
      <c r="AT152" s="46"/>
      <c r="AU152" s="46"/>
      <c r="AV152" s="46"/>
      <c r="AW152" s="46"/>
      <c r="AX152" s="46"/>
      <c r="AY152" s="46"/>
      <c r="AZ152" s="46"/>
      <c r="BA152" s="46"/>
      <c r="BB152" s="46"/>
      <c r="BC152" s="46"/>
      <c r="BD152" s="46"/>
      <c r="BE152" s="46"/>
      <c r="BF152" s="46"/>
      <c r="BG152" s="46"/>
      <c r="BH152" s="46"/>
      <c r="BI152" s="46"/>
      <c r="BJ152" s="46"/>
      <c r="BK152" s="46"/>
      <c r="BL152" s="46"/>
      <c r="BM152" s="46"/>
      <c r="BN152" s="46"/>
      <c r="BO152" s="46"/>
      <c r="BP152" s="46"/>
      <c r="BQ152" s="46"/>
      <c r="BR152" s="46"/>
      <c r="BS152" s="46"/>
      <c r="BT152" s="46"/>
      <c r="BU152" s="46"/>
      <c r="BV152" s="46"/>
      <c r="BW152" s="46"/>
    </row>
    <row r="153" spans="2:75" x14ac:dyDescent="0.2">
      <c r="B153" s="46"/>
      <c r="C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E153" s="46"/>
      <c r="AF153" s="46"/>
      <c r="AG153" s="48"/>
      <c r="AH153" s="48"/>
      <c r="AI153" s="46"/>
      <c r="AJ153" s="46"/>
      <c r="AK153" s="46"/>
      <c r="AL153" s="46"/>
      <c r="AM153" s="46"/>
      <c r="AN153" s="46"/>
      <c r="AO153" s="46"/>
      <c r="AP153" s="46"/>
      <c r="AQ153" s="46"/>
      <c r="AR153" s="46"/>
      <c r="AS153" s="46"/>
      <c r="AT153" s="46"/>
      <c r="AU153" s="46"/>
      <c r="AV153" s="46"/>
      <c r="AW153" s="46"/>
      <c r="AX153" s="46"/>
      <c r="AY153" s="46"/>
      <c r="AZ153" s="46"/>
      <c r="BA153" s="46"/>
      <c r="BB153" s="46"/>
      <c r="BC153" s="46"/>
      <c r="BD153" s="46"/>
      <c r="BE153" s="46"/>
      <c r="BF153" s="46"/>
      <c r="BG153" s="46"/>
      <c r="BH153" s="46"/>
      <c r="BI153" s="46"/>
      <c r="BJ153" s="46"/>
      <c r="BK153" s="46"/>
      <c r="BL153" s="46"/>
      <c r="BM153" s="46"/>
      <c r="BN153" s="46"/>
      <c r="BO153" s="46"/>
      <c r="BP153" s="46"/>
      <c r="BQ153" s="46"/>
      <c r="BR153" s="46"/>
      <c r="BS153" s="46"/>
      <c r="BT153" s="46"/>
      <c r="BU153" s="46"/>
      <c r="BV153" s="46"/>
      <c r="BW153" s="46"/>
    </row>
    <row r="154" spans="2:75" x14ac:dyDescent="0.2">
      <c r="B154" s="46"/>
      <c r="C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E154" s="46"/>
      <c r="AF154" s="46"/>
      <c r="AG154" s="48"/>
      <c r="AH154" s="48"/>
      <c r="AI154" s="46"/>
      <c r="AJ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  <c r="AV154" s="46"/>
      <c r="AW154" s="46"/>
      <c r="AX154" s="46"/>
      <c r="AY154" s="46"/>
      <c r="AZ154" s="46"/>
      <c r="BA154" s="46"/>
      <c r="BB154" s="46"/>
      <c r="BC154" s="46"/>
      <c r="BD154" s="46"/>
      <c r="BE154" s="46"/>
      <c r="BF154" s="46"/>
      <c r="BG154" s="46"/>
      <c r="BH154" s="46"/>
      <c r="BI154" s="46"/>
      <c r="BJ154" s="46"/>
      <c r="BK154" s="46"/>
      <c r="BL154" s="46"/>
      <c r="BM154" s="46"/>
      <c r="BN154" s="46"/>
      <c r="BO154" s="46"/>
      <c r="BP154" s="46"/>
      <c r="BQ154" s="46"/>
      <c r="BR154" s="46"/>
      <c r="BS154" s="46"/>
      <c r="BT154" s="46"/>
      <c r="BU154" s="46"/>
      <c r="BV154" s="46"/>
      <c r="BW154" s="46"/>
    </row>
    <row r="155" spans="2:75" x14ac:dyDescent="0.2">
      <c r="B155" s="46"/>
      <c r="C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E155" s="46"/>
      <c r="AF155" s="46"/>
      <c r="AG155" s="48"/>
      <c r="AH155" s="48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  <c r="AW155" s="46"/>
      <c r="AX155" s="46"/>
      <c r="AY155" s="46"/>
      <c r="AZ155" s="46"/>
      <c r="BA155" s="46"/>
      <c r="BB155" s="46"/>
      <c r="BC155" s="46"/>
      <c r="BD155" s="46"/>
      <c r="BE155" s="46"/>
      <c r="BF155" s="46"/>
      <c r="BG155" s="46"/>
      <c r="BH155" s="46"/>
      <c r="BI155" s="46"/>
      <c r="BJ155" s="46"/>
      <c r="BK155" s="46"/>
      <c r="BL155" s="46"/>
      <c r="BM155" s="46"/>
      <c r="BN155" s="46"/>
      <c r="BO155" s="46"/>
      <c r="BP155" s="46"/>
      <c r="BQ155" s="46"/>
      <c r="BR155" s="46"/>
      <c r="BS155" s="46"/>
      <c r="BT155" s="46"/>
      <c r="BU155" s="46"/>
      <c r="BV155" s="46"/>
      <c r="BW155" s="46"/>
    </row>
    <row r="156" spans="2:75" x14ac:dyDescent="0.2">
      <c r="B156" s="46"/>
      <c r="C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E156" s="46"/>
      <c r="AF156" s="46"/>
      <c r="AG156" s="48"/>
      <c r="AH156" s="48"/>
      <c r="AI156" s="46"/>
      <c r="AJ156" s="46"/>
      <c r="AK156" s="46"/>
      <c r="AL156" s="46"/>
      <c r="AM156" s="46"/>
      <c r="AN156" s="46"/>
      <c r="AO156" s="46"/>
      <c r="AP156" s="46"/>
      <c r="AQ156" s="46"/>
      <c r="AR156" s="46"/>
      <c r="AS156" s="46"/>
      <c r="AT156" s="46"/>
      <c r="AU156" s="46"/>
      <c r="AV156" s="46"/>
      <c r="AW156" s="46"/>
      <c r="AX156" s="46"/>
      <c r="AY156" s="46"/>
      <c r="AZ156" s="46"/>
      <c r="BA156" s="46"/>
      <c r="BB156" s="46"/>
      <c r="BC156" s="46"/>
      <c r="BD156" s="46"/>
      <c r="BE156" s="46"/>
      <c r="BF156" s="46"/>
      <c r="BG156" s="46"/>
      <c r="BH156" s="46"/>
      <c r="BI156" s="46"/>
      <c r="BJ156" s="46"/>
      <c r="BK156" s="46"/>
      <c r="BL156" s="46"/>
      <c r="BM156" s="46"/>
      <c r="BN156" s="46"/>
      <c r="BO156" s="46"/>
      <c r="BP156" s="46"/>
      <c r="BQ156" s="46"/>
      <c r="BR156" s="46"/>
      <c r="BS156" s="46"/>
      <c r="BT156" s="46"/>
      <c r="BU156" s="46"/>
      <c r="BV156" s="46"/>
      <c r="BW156" s="46"/>
    </row>
    <row r="157" spans="2:75" x14ac:dyDescent="0.2">
      <c r="B157" s="46"/>
      <c r="C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E157" s="46"/>
      <c r="AF157" s="46"/>
      <c r="AG157" s="48"/>
      <c r="AH157" s="48"/>
      <c r="AI157" s="46"/>
      <c r="AJ157" s="46"/>
      <c r="AK157" s="46"/>
      <c r="AL157" s="46"/>
      <c r="AM157" s="46"/>
      <c r="AN157" s="46"/>
      <c r="AO157" s="46"/>
      <c r="AP157" s="46"/>
      <c r="AQ157" s="46"/>
      <c r="AR157" s="46"/>
      <c r="AS157" s="46"/>
      <c r="AT157" s="46"/>
      <c r="AU157" s="46"/>
      <c r="AV157" s="46"/>
      <c r="AW157" s="46"/>
      <c r="AX157" s="46"/>
      <c r="AY157" s="46"/>
      <c r="AZ157" s="46"/>
      <c r="BA157" s="46"/>
      <c r="BB157" s="46"/>
      <c r="BC157" s="46"/>
      <c r="BD157" s="46"/>
      <c r="BE157" s="46"/>
      <c r="BF157" s="46"/>
      <c r="BG157" s="46"/>
      <c r="BH157" s="46"/>
      <c r="BI157" s="46"/>
      <c r="BJ157" s="46"/>
      <c r="BK157" s="46"/>
      <c r="BL157" s="46"/>
      <c r="BM157" s="46"/>
      <c r="BN157" s="46"/>
      <c r="BO157" s="46"/>
      <c r="BP157" s="46"/>
      <c r="BQ157" s="46"/>
      <c r="BR157" s="46"/>
      <c r="BS157" s="46"/>
      <c r="BT157" s="46"/>
      <c r="BU157" s="46"/>
      <c r="BV157" s="46"/>
      <c r="BW157" s="46"/>
    </row>
    <row r="158" spans="2:75" x14ac:dyDescent="0.2">
      <c r="B158" s="46"/>
      <c r="C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E158" s="46"/>
      <c r="AF158" s="46"/>
      <c r="AG158" s="48"/>
      <c r="AH158" s="48"/>
      <c r="AI158" s="46"/>
      <c r="AJ158" s="46"/>
      <c r="AK158" s="46"/>
      <c r="AL158" s="46"/>
      <c r="AM158" s="46"/>
      <c r="AN158" s="46"/>
      <c r="AO158" s="46"/>
      <c r="AP158" s="46"/>
      <c r="AQ158" s="46"/>
      <c r="AR158" s="46"/>
      <c r="AS158" s="46"/>
      <c r="AT158" s="46"/>
      <c r="AU158" s="46"/>
      <c r="AV158" s="46"/>
      <c r="AW158" s="46"/>
      <c r="AX158" s="46"/>
      <c r="AY158" s="46"/>
      <c r="AZ158" s="46"/>
      <c r="BA158" s="46"/>
      <c r="BB158" s="46"/>
      <c r="BC158" s="46"/>
      <c r="BD158" s="46"/>
      <c r="BE158" s="46"/>
      <c r="BF158" s="46"/>
      <c r="BG158" s="46"/>
      <c r="BH158" s="46"/>
      <c r="BI158" s="46"/>
      <c r="BJ158" s="46"/>
      <c r="BK158" s="46"/>
      <c r="BL158" s="46"/>
      <c r="BM158" s="46"/>
      <c r="BN158" s="46"/>
      <c r="BO158" s="46"/>
      <c r="BP158" s="46"/>
      <c r="BQ158" s="46"/>
      <c r="BR158" s="46"/>
      <c r="BS158" s="46"/>
      <c r="BT158" s="46"/>
      <c r="BU158" s="46"/>
      <c r="BV158" s="46"/>
      <c r="BW158" s="46"/>
    </row>
    <row r="159" spans="2:75" x14ac:dyDescent="0.2">
      <c r="B159" s="46"/>
      <c r="C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E159" s="46"/>
      <c r="AF159" s="46"/>
      <c r="AG159" s="48"/>
      <c r="AH159" s="48"/>
      <c r="AI159" s="46"/>
      <c r="AJ159" s="46"/>
      <c r="AK159" s="46"/>
      <c r="AL159" s="46"/>
      <c r="AM159" s="46"/>
      <c r="AN159" s="46"/>
      <c r="AO159" s="46"/>
      <c r="AP159" s="46"/>
      <c r="AQ159" s="46"/>
      <c r="AR159" s="46"/>
      <c r="AS159" s="46"/>
      <c r="AT159" s="46"/>
      <c r="AU159" s="46"/>
      <c r="AV159" s="46"/>
      <c r="AW159" s="46"/>
      <c r="AX159" s="46"/>
      <c r="AY159" s="46"/>
      <c r="AZ159" s="46"/>
      <c r="BA159" s="46"/>
      <c r="BB159" s="46"/>
      <c r="BC159" s="46"/>
      <c r="BD159" s="46"/>
      <c r="BE159" s="46"/>
      <c r="BF159" s="46"/>
      <c r="BG159" s="46"/>
      <c r="BH159" s="46"/>
      <c r="BI159" s="46"/>
      <c r="BJ159" s="46"/>
      <c r="BK159" s="46"/>
      <c r="BL159" s="46"/>
      <c r="BM159" s="46"/>
      <c r="BN159" s="46"/>
      <c r="BO159" s="46"/>
      <c r="BP159" s="46"/>
      <c r="BQ159" s="46"/>
      <c r="BR159" s="46"/>
      <c r="BS159" s="46"/>
      <c r="BT159" s="46"/>
      <c r="BU159" s="46"/>
      <c r="BV159" s="46"/>
      <c r="BW159" s="46"/>
    </row>
    <row r="160" spans="2:75" x14ac:dyDescent="0.2">
      <c r="B160" s="46"/>
      <c r="C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E160" s="46"/>
      <c r="AF160" s="46"/>
      <c r="AG160" s="48"/>
      <c r="AH160" s="48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46"/>
      <c r="BO160" s="46"/>
      <c r="BP160" s="46"/>
      <c r="BQ160" s="46"/>
      <c r="BR160" s="46"/>
      <c r="BS160" s="46"/>
      <c r="BT160" s="46"/>
      <c r="BU160" s="46"/>
      <c r="BV160" s="46"/>
      <c r="BW160" s="46"/>
    </row>
    <row r="161" spans="2:75" x14ac:dyDescent="0.2">
      <c r="B161" s="46"/>
      <c r="C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E161" s="46"/>
      <c r="AF161" s="46"/>
      <c r="AG161" s="48"/>
      <c r="AH161" s="48"/>
      <c r="AI161" s="46"/>
      <c r="AJ161" s="46"/>
      <c r="AK161" s="46"/>
      <c r="AL161" s="46"/>
      <c r="AM161" s="46"/>
      <c r="AN161" s="46"/>
      <c r="AO161" s="46"/>
      <c r="AP161" s="46"/>
      <c r="AQ161" s="46"/>
      <c r="AR161" s="46"/>
      <c r="AS161" s="46"/>
      <c r="AT161" s="46"/>
      <c r="AU161" s="46"/>
      <c r="AV161" s="46"/>
      <c r="AW161" s="46"/>
      <c r="AX161" s="46"/>
      <c r="AY161" s="46"/>
      <c r="AZ161" s="46"/>
      <c r="BA161" s="46"/>
      <c r="BB161" s="46"/>
      <c r="BC161" s="46"/>
      <c r="BD161" s="46"/>
      <c r="BE161" s="46"/>
      <c r="BF161" s="46"/>
      <c r="BG161" s="46"/>
      <c r="BH161" s="46"/>
      <c r="BI161" s="46"/>
      <c r="BJ161" s="46"/>
      <c r="BK161" s="46"/>
      <c r="BL161" s="46"/>
      <c r="BM161" s="46"/>
      <c r="BN161" s="46"/>
      <c r="BO161" s="46"/>
      <c r="BP161" s="46"/>
      <c r="BQ161" s="46"/>
      <c r="BR161" s="46"/>
      <c r="BS161" s="46"/>
      <c r="BT161" s="46"/>
      <c r="BU161" s="46"/>
      <c r="BV161" s="46"/>
      <c r="BW161" s="46"/>
    </row>
    <row r="162" spans="2:75" x14ac:dyDescent="0.2">
      <c r="B162" s="46"/>
      <c r="C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E162" s="46"/>
      <c r="AF162" s="46"/>
      <c r="AG162" s="48"/>
      <c r="AH162" s="48"/>
      <c r="AI162" s="46"/>
      <c r="AJ162" s="46"/>
      <c r="AK162" s="46"/>
      <c r="AL162" s="46"/>
      <c r="AM162" s="46"/>
      <c r="AN162" s="46"/>
      <c r="AO162" s="46"/>
      <c r="AP162" s="46"/>
      <c r="AQ162" s="46"/>
      <c r="AR162" s="46"/>
      <c r="AS162" s="46"/>
      <c r="AT162" s="46"/>
      <c r="AU162" s="46"/>
      <c r="AV162" s="46"/>
      <c r="AW162" s="46"/>
      <c r="AX162" s="46"/>
      <c r="AY162" s="46"/>
      <c r="AZ162" s="46"/>
      <c r="BA162" s="46"/>
      <c r="BB162" s="46"/>
      <c r="BC162" s="46"/>
      <c r="BD162" s="46"/>
      <c r="BE162" s="46"/>
      <c r="BF162" s="46"/>
      <c r="BG162" s="46"/>
      <c r="BH162" s="46"/>
      <c r="BI162" s="46"/>
      <c r="BJ162" s="46"/>
      <c r="BK162" s="46"/>
      <c r="BL162" s="46"/>
      <c r="BM162" s="46"/>
      <c r="BN162" s="46"/>
      <c r="BO162" s="46"/>
      <c r="BP162" s="46"/>
      <c r="BQ162" s="46"/>
      <c r="BR162" s="46"/>
      <c r="BS162" s="46"/>
      <c r="BT162" s="46"/>
      <c r="BU162" s="46"/>
      <c r="BV162" s="46"/>
      <c r="BW162" s="46"/>
    </row>
    <row r="163" spans="2:75" x14ac:dyDescent="0.2">
      <c r="B163" s="46"/>
      <c r="C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E163" s="46"/>
      <c r="AF163" s="46"/>
      <c r="AG163" s="48"/>
      <c r="AH163" s="48"/>
      <c r="AI163" s="46"/>
      <c r="AJ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  <c r="AV163" s="46"/>
      <c r="AW163" s="46"/>
      <c r="AX163" s="46"/>
      <c r="AY163" s="46"/>
      <c r="AZ163" s="46"/>
      <c r="BA163" s="46"/>
      <c r="BB163" s="46"/>
      <c r="BC163" s="46"/>
      <c r="BD163" s="46"/>
      <c r="BE163" s="46"/>
      <c r="BF163" s="46"/>
      <c r="BG163" s="46"/>
      <c r="BH163" s="46"/>
      <c r="BI163" s="46"/>
      <c r="BJ163" s="46"/>
      <c r="BK163" s="46"/>
      <c r="BL163" s="46"/>
      <c r="BM163" s="46"/>
      <c r="BN163" s="46"/>
      <c r="BO163" s="46"/>
      <c r="BP163" s="46"/>
      <c r="BQ163" s="46"/>
      <c r="BR163" s="46"/>
      <c r="BS163" s="46"/>
      <c r="BT163" s="46"/>
      <c r="BU163" s="46"/>
      <c r="BV163" s="46"/>
      <c r="BW163" s="46"/>
    </row>
    <row r="164" spans="2:75" x14ac:dyDescent="0.2">
      <c r="B164" s="46"/>
      <c r="C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E164" s="46"/>
      <c r="AF164" s="46"/>
      <c r="AG164" s="48"/>
      <c r="AH164" s="48"/>
      <c r="AI164" s="46"/>
      <c r="AJ164" s="46"/>
      <c r="AK164" s="46"/>
      <c r="AL164" s="46"/>
      <c r="AM164" s="46"/>
      <c r="AN164" s="46"/>
      <c r="AO164" s="46"/>
      <c r="AP164" s="46"/>
      <c r="AQ164" s="46"/>
      <c r="AR164" s="46"/>
      <c r="AS164" s="46"/>
      <c r="AT164" s="46"/>
      <c r="AU164" s="46"/>
      <c r="AV164" s="46"/>
      <c r="AW164" s="46"/>
      <c r="AX164" s="46"/>
      <c r="AY164" s="46"/>
      <c r="AZ164" s="46"/>
      <c r="BA164" s="46"/>
      <c r="BB164" s="46"/>
      <c r="BC164" s="46"/>
      <c r="BD164" s="46"/>
      <c r="BE164" s="46"/>
      <c r="BF164" s="46"/>
      <c r="BG164" s="46"/>
      <c r="BH164" s="46"/>
      <c r="BI164" s="46"/>
      <c r="BJ164" s="46"/>
      <c r="BK164" s="46"/>
      <c r="BL164" s="46"/>
      <c r="BM164" s="46"/>
      <c r="BN164" s="46"/>
      <c r="BO164" s="46"/>
      <c r="BP164" s="46"/>
      <c r="BQ164" s="46"/>
      <c r="BR164" s="46"/>
      <c r="BS164" s="46"/>
      <c r="BT164" s="46"/>
      <c r="BU164" s="46"/>
      <c r="BV164" s="46"/>
      <c r="BW164" s="46"/>
    </row>
    <row r="165" spans="2:75" x14ac:dyDescent="0.2">
      <c r="B165" s="46"/>
      <c r="C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E165" s="46"/>
      <c r="AF165" s="46"/>
      <c r="AG165" s="48"/>
      <c r="AH165" s="48"/>
      <c r="AI165" s="46"/>
      <c r="AJ165" s="46"/>
      <c r="AK165" s="46"/>
      <c r="AL165" s="46"/>
      <c r="AM165" s="46"/>
      <c r="AN165" s="46"/>
      <c r="AO165" s="46"/>
      <c r="AP165" s="46"/>
      <c r="AQ165" s="46"/>
      <c r="AR165" s="46"/>
      <c r="AS165" s="46"/>
      <c r="AT165" s="46"/>
      <c r="AU165" s="46"/>
      <c r="AV165" s="46"/>
      <c r="AW165" s="46"/>
      <c r="AX165" s="46"/>
      <c r="AY165" s="46"/>
      <c r="AZ165" s="46"/>
      <c r="BA165" s="46"/>
      <c r="BB165" s="46"/>
      <c r="BC165" s="46"/>
      <c r="BD165" s="46"/>
      <c r="BE165" s="46"/>
      <c r="BF165" s="46"/>
      <c r="BG165" s="46"/>
      <c r="BH165" s="46"/>
      <c r="BI165" s="46"/>
      <c r="BJ165" s="46"/>
      <c r="BK165" s="46"/>
      <c r="BL165" s="46"/>
      <c r="BM165" s="46"/>
      <c r="BN165" s="46"/>
      <c r="BO165" s="46"/>
      <c r="BP165" s="46"/>
      <c r="BQ165" s="46"/>
      <c r="BR165" s="46"/>
      <c r="BS165" s="46"/>
      <c r="BT165" s="46"/>
      <c r="BU165" s="46"/>
      <c r="BV165" s="46"/>
      <c r="BW165" s="46"/>
    </row>
    <row r="166" spans="2:75" x14ac:dyDescent="0.2">
      <c r="B166" s="46"/>
      <c r="C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E166" s="46"/>
      <c r="AF166" s="46"/>
      <c r="AG166" s="48"/>
      <c r="AH166" s="48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  <c r="AW166" s="46"/>
      <c r="AX166" s="46"/>
      <c r="AY166" s="46"/>
      <c r="AZ166" s="46"/>
      <c r="BA166" s="46"/>
      <c r="BB166" s="46"/>
      <c r="BC166" s="46"/>
      <c r="BD166" s="46"/>
      <c r="BE166" s="46"/>
      <c r="BF166" s="46"/>
      <c r="BG166" s="46"/>
      <c r="BH166" s="46"/>
      <c r="BI166" s="46"/>
      <c r="BJ166" s="46"/>
      <c r="BK166" s="46"/>
      <c r="BL166" s="46"/>
      <c r="BM166" s="46"/>
      <c r="BN166" s="46"/>
      <c r="BO166" s="46"/>
      <c r="BP166" s="46"/>
      <c r="BQ166" s="46"/>
      <c r="BR166" s="46"/>
      <c r="BS166" s="46"/>
      <c r="BT166" s="46"/>
      <c r="BU166" s="46"/>
      <c r="BV166" s="46"/>
      <c r="BW166" s="46"/>
    </row>
    <row r="167" spans="2:75" x14ac:dyDescent="0.2">
      <c r="B167" s="46"/>
      <c r="C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E167" s="46"/>
      <c r="AF167" s="46"/>
      <c r="AG167" s="48"/>
      <c r="AH167" s="48"/>
      <c r="AI167" s="46"/>
      <c r="AJ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  <c r="AW167" s="46"/>
      <c r="AX167" s="46"/>
      <c r="AY167" s="46"/>
      <c r="AZ167" s="46"/>
      <c r="BA167" s="46"/>
      <c r="BB167" s="46"/>
      <c r="BC167" s="46"/>
      <c r="BD167" s="46"/>
      <c r="BE167" s="46"/>
      <c r="BF167" s="46"/>
      <c r="BG167" s="46"/>
      <c r="BH167" s="46"/>
      <c r="BI167" s="46"/>
      <c r="BJ167" s="46"/>
      <c r="BK167" s="46"/>
      <c r="BL167" s="46"/>
      <c r="BM167" s="46"/>
      <c r="BN167" s="46"/>
      <c r="BO167" s="46"/>
      <c r="BP167" s="46"/>
      <c r="BQ167" s="46"/>
      <c r="BR167" s="46"/>
      <c r="BS167" s="46"/>
      <c r="BT167" s="46"/>
      <c r="BU167" s="46"/>
      <c r="BV167" s="46"/>
      <c r="BW167" s="46"/>
    </row>
    <row r="168" spans="2:75" x14ac:dyDescent="0.2">
      <c r="B168" s="46"/>
      <c r="C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E168" s="46"/>
      <c r="AF168" s="46"/>
      <c r="AG168" s="48"/>
      <c r="AH168" s="48"/>
      <c r="AI168" s="46"/>
      <c r="AJ168" s="46"/>
      <c r="AK168" s="46"/>
      <c r="AL168" s="46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  <c r="AW168" s="46"/>
      <c r="AX168" s="46"/>
      <c r="AY168" s="46"/>
      <c r="AZ168" s="46"/>
      <c r="BA168" s="46"/>
      <c r="BB168" s="46"/>
      <c r="BC168" s="46"/>
      <c r="BD168" s="46"/>
      <c r="BE168" s="46"/>
      <c r="BF168" s="46"/>
      <c r="BG168" s="46"/>
      <c r="BH168" s="46"/>
      <c r="BI168" s="46"/>
      <c r="BJ168" s="46"/>
      <c r="BK168" s="46"/>
      <c r="BL168" s="46"/>
      <c r="BM168" s="46"/>
      <c r="BN168" s="46"/>
      <c r="BO168" s="46"/>
      <c r="BP168" s="46"/>
      <c r="BQ168" s="46"/>
      <c r="BR168" s="46"/>
      <c r="BS168" s="46"/>
      <c r="BT168" s="46"/>
      <c r="BU168" s="46"/>
      <c r="BV168" s="46"/>
      <c r="BW168" s="46"/>
    </row>
    <row r="169" spans="2:75" x14ac:dyDescent="0.2">
      <c r="B169" s="46"/>
      <c r="C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E169" s="46"/>
      <c r="AF169" s="46"/>
      <c r="AG169" s="48"/>
      <c r="AH169" s="48"/>
      <c r="AI169" s="46"/>
      <c r="AJ169" s="46"/>
      <c r="AK169" s="46"/>
      <c r="AL169" s="46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  <c r="AW169" s="46"/>
      <c r="AX169" s="46"/>
      <c r="AY169" s="46"/>
      <c r="AZ169" s="46"/>
      <c r="BA169" s="46"/>
      <c r="BB169" s="46"/>
      <c r="BC169" s="46"/>
      <c r="BD169" s="46"/>
      <c r="BE169" s="46"/>
      <c r="BF169" s="46"/>
      <c r="BG169" s="46"/>
      <c r="BH169" s="46"/>
      <c r="BI169" s="46"/>
      <c r="BJ169" s="46"/>
      <c r="BK169" s="46"/>
      <c r="BL169" s="46"/>
      <c r="BM169" s="46"/>
      <c r="BN169" s="46"/>
      <c r="BO169" s="46"/>
      <c r="BP169" s="46"/>
      <c r="BQ169" s="46"/>
      <c r="BR169" s="46"/>
      <c r="BS169" s="46"/>
      <c r="BT169" s="46"/>
      <c r="BU169" s="46"/>
      <c r="BV169" s="46"/>
      <c r="BW169" s="46"/>
    </row>
    <row r="170" spans="2:75" x14ac:dyDescent="0.2">
      <c r="B170" s="46"/>
      <c r="C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E170" s="46"/>
      <c r="AF170" s="46"/>
      <c r="AG170" s="48"/>
      <c r="AH170" s="48"/>
      <c r="AI170" s="46"/>
      <c r="AJ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  <c r="AW170" s="46"/>
      <c r="AX170" s="46"/>
      <c r="AY170" s="46"/>
      <c r="AZ170" s="46"/>
      <c r="BA170" s="46"/>
      <c r="BB170" s="46"/>
      <c r="BC170" s="46"/>
      <c r="BD170" s="46"/>
      <c r="BE170" s="46"/>
      <c r="BF170" s="46"/>
      <c r="BG170" s="46"/>
      <c r="BH170" s="46"/>
      <c r="BI170" s="46"/>
      <c r="BJ170" s="46"/>
      <c r="BK170" s="46"/>
      <c r="BL170" s="46"/>
      <c r="BM170" s="46"/>
      <c r="BN170" s="46"/>
      <c r="BO170" s="46"/>
      <c r="BP170" s="46"/>
      <c r="BQ170" s="46"/>
      <c r="BR170" s="46"/>
      <c r="BS170" s="46"/>
      <c r="BT170" s="46"/>
      <c r="BU170" s="46"/>
      <c r="BV170" s="46"/>
      <c r="BW170" s="46"/>
    </row>
    <row r="171" spans="2:75" x14ac:dyDescent="0.2">
      <c r="B171" s="46"/>
      <c r="C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E171" s="46"/>
      <c r="AF171" s="46"/>
      <c r="AG171" s="48"/>
      <c r="AH171" s="48"/>
      <c r="AI171" s="46"/>
      <c r="AJ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  <c r="AW171" s="46"/>
      <c r="AX171" s="46"/>
      <c r="AY171" s="46"/>
      <c r="AZ171" s="46"/>
      <c r="BA171" s="46"/>
      <c r="BB171" s="46"/>
      <c r="BC171" s="46"/>
      <c r="BD171" s="46"/>
      <c r="BE171" s="46"/>
      <c r="BF171" s="46"/>
      <c r="BG171" s="46"/>
      <c r="BH171" s="46"/>
      <c r="BI171" s="46"/>
      <c r="BJ171" s="46"/>
      <c r="BK171" s="46"/>
      <c r="BL171" s="46"/>
      <c r="BM171" s="46"/>
      <c r="BN171" s="46"/>
      <c r="BO171" s="46"/>
      <c r="BP171" s="46"/>
      <c r="BQ171" s="46"/>
      <c r="BR171" s="46"/>
      <c r="BS171" s="46"/>
      <c r="BT171" s="46"/>
      <c r="BU171" s="46"/>
      <c r="BV171" s="46"/>
      <c r="BW171" s="46"/>
    </row>
    <row r="172" spans="2:75" x14ac:dyDescent="0.2">
      <c r="B172" s="46"/>
      <c r="C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E172" s="46"/>
      <c r="AF172" s="46"/>
      <c r="AG172" s="48"/>
      <c r="AH172" s="48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46"/>
      <c r="BO172" s="46"/>
      <c r="BP172" s="46"/>
      <c r="BQ172" s="46"/>
      <c r="BR172" s="46"/>
      <c r="BS172" s="46"/>
      <c r="BT172" s="46"/>
      <c r="BU172" s="46"/>
      <c r="BV172" s="46"/>
      <c r="BW172" s="46"/>
    </row>
    <row r="173" spans="2:75" x14ac:dyDescent="0.2">
      <c r="B173" s="46"/>
      <c r="C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E173" s="46"/>
      <c r="AF173" s="46"/>
      <c r="AG173" s="48"/>
      <c r="AH173" s="48"/>
      <c r="AI173" s="46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  <c r="AW173" s="46"/>
      <c r="AX173" s="46"/>
      <c r="AY173" s="46"/>
      <c r="AZ173" s="46"/>
      <c r="BA173" s="46"/>
      <c r="BB173" s="46"/>
      <c r="BC173" s="46"/>
      <c r="BD173" s="46"/>
      <c r="BE173" s="46"/>
      <c r="BF173" s="46"/>
      <c r="BG173" s="46"/>
      <c r="BH173" s="46"/>
      <c r="BI173" s="46"/>
      <c r="BJ173" s="46"/>
      <c r="BK173" s="46"/>
      <c r="BL173" s="46"/>
      <c r="BM173" s="46"/>
      <c r="BN173" s="46"/>
      <c r="BO173" s="46"/>
      <c r="BP173" s="46"/>
      <c r="BQ173" s="46"/>
      <c r="BR173" s="46"/>
      <c r="BS173" s="46"/>
      <c r="BT173" s="46"/>
      <c r="BU173" s="46"/>
      <c r="BV173" s="46"/>
      <c r="BW173" s="46"/>
    </row>
    <row r="174" spans="2:75" x14ac:dyDescent="0.2">
      <c r="B174" s="46"/>
      <c r="C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E174" s="46"/>
      <c r="AF174" s="46"/>
      <c r="AG174" s="48"/>
      <c r="AH174" s="48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6"/>
      <c r="AX174" s="46"/>
      <c r="AY174" s="46"/>
      <c r="AZ174" s="46"/>
      <c r="BA174" s="46"/>
      <c r="BB174" s="46"/>
      <c r="BC174" s="46"/>
      <c r="BD174" s="46"/>
      <c r="BE174" s="46"/>
      <c r="BF174" s="46"/>
      <c r="BG174" s="46"/>
      <c r="BH174" s="46"/>
      <c r="BI174" s="46"/>
      <c r="BJ174" s="46"/>
      <c r="BK174" s="46"/>
      <c r="BL174" s="46"/>
      <c r="BM174" s="46"/>
      <c r="BN174" s="46"/>
      <c r="BO174" s="46"/>
      <c r="BP174" s="46"/>
      <c r="BQ174" s="46"/>
      <c r="BR174" s="46"/>
      <c r="BS174" s="46"/>
      <c r="BT174" s="46"/>
      <c r="BU174" s="46"/>
      <c r="BV174" s="46"/>
      <c r="BW174" s="46"/>
    </row>
    <row r="175" spans="2:75" x14ac:dyDescent="0.2">
      <c r="B175" s="46"/>
      <c r="C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E175" s="46"/>
      <c r="AF175" s="46"/>
      <c r="AG175" s="48"/>
      <c r="AH175" s="48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46"/>
      <c r="BO175" s="46"/>
      <c r="BP175" s="46"/>
      <c r="BQ175" s="46"/>
      <c r="BR175" s="46"/>
      <c r="BS175" s="46"/>
      <c r="BT175" s="46"/>
      <c r="BU175" s="46"/>
      <c r="BV175" s="46"/>
      <c r="BW175" s="46"/>
    </row>
    <row r="176" spans="2:75" x14ac:dyDescent="0.2">
      <c r="B176" s="46"/>
      <c r="C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E176" s="46"/>
      <c r="AF176" s="46"/>
      <c r="AG176" s="48"/>
      <c r="AH176" s="48"/>
      <c r="AI176" s="46"/>
      <c r="AJ176" s="46"/>
      <c r="AK176" s="46"/>
      <c r="AL176" s="46"/>
      <c r="AM176" s="46"/>
      <c r="AN176" s="46"/>
      <c r="AO176" s="46"/>
      <c r="AP176" s="46"/>
      <c r="AQ176" s="46"/>
      <c r="AR176" s="46"/>
      <c r="AS176" s="46"/>
      <c r="AT176" s="46"/>
      <c r="AU176" s="46"/>
      <c r="AV176" s="46"/>
      <c r="AW176" s="46"/>
      <c r="AX176" s="46"/>
      <c r="AY176" s="46"/>
      <c r="AZ176" s="46"/>
      <c r="BA176" s="46"/>
      <c r="BB176" s="46"/>
      <c r="BC176" s="46"/>
      <c r="BD176" s="46"/>
      <c r="BE176" s="46"/>
      <c r="BF176" s="46"/>
      <c r="BG176" s="46"/>
      <c r="BH176" s="46"/>
      <c r="BI176" s="46"/>
      <c r="BJ176" s="46"/>
      <c r="BK176" s="46"/>
      <c r="BL176" s="46"/>
      <c r="BM176" s="46"/>
      <c r="BN176" s="46"/>
      <c r="BO176" s="46"/>
      <c r="BP176" s="46"/>
      <c r="BQ176" s="46"/>
      <c r="BR176" s="46"/>
      <c r="BS176" s="46"/>
      <c r="BT176" s="46"/>
      <c r="BU176" s="46"/>
      <c r="BV176" s="46"/>
      <c r="BW176" s="46"/>
    </row>
    <row r="177" spans="2:75" x14ac:dyDescent="0.2">
      <c r="B177" s="46"/>
      <c r="C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E177" s="46"/>
      <c r="AF177" s="46"/>
      <c r="AG177" s="48"/>
      <c r="AH177" s="48"/>
      <c r="AI177" s="46"/>
      <c r="AJ177" s="46"/>
      <c r="AK177" s="46"/>
      <c r="AL177" s="46"/>
      <c r="AM177" s="46"/>
      <c r="AN177" s="46"/>
      <c r="AO177" s="46"/>
      <c r="AP177" s="46"/>
      <c r="AQ177" s="46"/>
      <c r="AR177" s="46"/>
      <c r="AS177" s="46"/>
      <c r="AT177" s="46"/>
      <c r="AU177" s="46"/>
      <c r="AV177" s="46"/>
      <c r="AW177" s="46"/>
      <c r="AX177" s="46"/>
      <c r="AY177" s="46"/>
      <c r="AZ177" s="46"/>
      <c r="BA177" s="46"/>
      <c r="BB177" s="46"/>
      <c r="BC177" s="46"/>
      <c r="BD177" s="46"/>
      <c r="BE177" s="46"/>
      <c r="BF177" s="46"/>
      <c r="BG177" s="46"/>
      <c r="BH177" s="46"/>
      <c r="BI177" s="46"/>
      <c r="BJ177" s="46"/>
      <c r="BK177" s="46"/>
      <c r="BL177" s="46"/>
      <c r="BM177" s="46"/>
      <c r="BN177" s="46"/>
      <c r="BO177" s="46"/>
      <c r="BP177" s="46"/>
      <c r="BQ177" s="46"/>
      <c r="BR177" s="46"/>
      <c r="BS177" s="46"/>
      <c r="BT177" s="46"/>
      <c r="BU177" s="46"/>
      <c r="BV177" s="46"/>
      <c r="BW177" s="46"/>
    </row>
    <row r="178" spans="2:75" x14ac:dyDescent="0.2">
      <c r="B178" s="46"/>
      <c r="C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E178" s="46"/>
      <c r="AF178" s="46"/>
      <c r="AG178" s="48"/>
      <c r="AH178" s="48"/>
      <c r="AI178" s="46"/>
      <c r="AJ178" s="46"/>
      <c r="AK178" s="46"/>
      <c r="AL178" s="46"/>
      <c r="AM178" s="46"/>
      <c r="AN178" s="46"/>
      <c r="AO178" s="46"/>
      <c r="AP178" s="46"/>
      <c r="AQ178" s="46"/>
      <c r="AR178" s="46"/>
      <c r="AS178" s="46"/>
      <c r="AT178" s="46"/>
      <c r="AU178" s="46"/>
      <c r="AV178" s="46"/>
      <c r="AW178" s="46"/>
      <c r="AX178" s="46"/>
      <c r="AY178" s="46"/>
      <c r="AZ178" s="46"/>
      <c r="BA178" s="46"/>
      <c r="BB178" s="46"/>
      <c r="BC178" s="46"/>
      <c r="BD178" s="46"/>
      <c r="BE178" s="46"/>
      <c r="BF178" s="46"/>
      <c r="BG178" s="46"/>
      <c r="BH178" s="46"/>
      <c r="BI178" s="46"/>
      <c r="BJ178" s="46"/>
      <c r="BK178" s="46"/>
      <c r="BL178" s="46"/>
      <c r="BM178" s="46"/>
      <c r="BN178" s="46"/>
      <c r="BO178" s="46"/>
      <c r="BP178" s="46"/>
      <c r="BQ178" s="46"/>
      <c r="BR178" s="46"/>
      <c r="BS178" s="46"/>
      <c r="BT178" s="46"/>
      <c r="BU178" s="46"/>
      <c r="BV178" s="46"/>
      <c r="BW178" s="46"/>
    </row>
    <row r="179" spans="2:75" x14ac:dyDescent="0.2">
      <c r="B179" s="46"/>
      <c r="C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E179" s="46"/>
      <c r="AF179" s="46"/>
      <c r="AG179" s="48"/>
      <c r="AH179" s="48"/>
      <c r="AI179" s="46"/>
      <c r="AJ179" s="46"/>
      <c r="AK179" s="46"/>
      <c r="AL179" s="46"/>
      <c r="AM179" s="46"/>
      <c r="AN179" s="46"/>
      <c r="AO179" s="46"/>
      <c r="AP179" s="46"/>
      <c r="AQ179" s="46"/>
      <c r="AR179" s="46"/>
      <c r="AS179" s="46"/>
      <c r="AT179" s="46"/>
      <c r="AU179" s="46"/>
      <c r="AV179" s="46"/>
      <c r="AW179" s="46"/>
      <c r="AX179" s="46"/>
      <c r="AY179" s="46"/>
      <c r="AZ179" s="46"/>
      <c r="BA179" s="46"/>
      <c r="BB179" s="46"/>
      <c r="BC179" s="46"/>
      <c r="BD179" s="46"/>
      <c r="BE179" s="46"/>
      <c r="BF179" s="46"/>
      <c r="BG179" s="46"/>
      <c r="BH179" s="46"/>
      <c r="BI179" s="46"/>
      <c r="BJ179" s="46"/>
      <c r="BK179" s="46"/>
      <c r="BL179" s="46"/>
      <c r="BM179" s="46"/>
      <c r="BN179" s="46"/>
      <c r="BO179" s="46"/>
      <c r="BP179" s="46"/>
      <c r="BQ179" s="46"/>
      <c r="BR179" s="46"/>
      <c r="BS179" s="46"/>
      <c r="BT179" s="46"/>
      <c r="BU179" s="46"/>
      <c r="BV179" s="46"/>
      <c r="BW179" s="46"/>
    </row>
    <row r="180" spans="2:75" x14ac:dyDescent="0.2">
      <c r="B180" s="46"/>
      <c r="C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E180" s="46"/>
      <c r="AF180" s="46"/>
      <c r="AG180" s="48"/>
      <c r="AH180" s="48"/>
      <c r="AI180" s="46"/>
      <c r="AJ180" s="46"/>
      <c r="AK180" s="46"/>
      <c r="AL180" s="46"/>
      <c r="AM180" s="46"/>
      <c r="AN180" s="46"/>
      <c r="AO180" s="46"/>
      <c r="AP180" s="46"/>
      <c r="AQ180" s="46"/>
      <c r="AR180" s="46"/>
      <c r="AS180" s="46"/>
      <c r="AT180" s="46"/>
      <c r="AU180" s="46"/>
      <c r="AV180" s="46"/>
      <c r="AW180" s="46"/>
      <c r="AX180" s="46"/>
      <c r="AY180" s="46"/>
      <c r="AZ180" s="46"/>
      <c r="BA180" s="46"/>
      <c r="BB180" s="46"/>
      <c r="BC180" s="46"/>
      <c r="BD180" s="46"/>
      <c r="BE180" s="46"/>
      <c r="BF180" s="46"/>
      <c r="BG180" s="46"/>
      <c r="BH180" s="46"/>
      <c r="BI180" s="46"/>
      <c r="BJ180" s="46"/>
      <c r="BK180" s="46"/>
      <c r="BL180" s="46"/>
      <c r="BM180" s="46"/>
      <c r="BN180" s="46"/>
      <c r="BO180" s="46"/>
      <c r="BP180" s="46"/>
      <c r="BQ180" s="46"/>
      <c r="BR180" s="46"/>
      <c r="BS180" s="46"/>
      <c r="BT180" s="46"/>
      <c r="BU180" s="46"/>
      <c r="BV180" s="46"/>
      <c r="BW180" s="46"/>
    </row>
    <row r="181" spans="2:75" x14ac:dyDescent="0.2">
      <c r="B181" s="46"/>
      <c r="C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E181" s="46"/>
      <c r="AF181" s="46"/>
      <c r="AG181" s="48"/>
      <c r="AH181" s="48"/>
      <c r="AI181" s="46"/>
      <c r="AJ181" s="46"/>
      <c r="AK181" s="46"/>
      <c r="AL181" s="46"/>
      <c r="AM181" s="46"/>
      <c r="AN181" s="46"/>
      <c r="AO181" s="46"/>
      <c r="AP181" s="46"/>
      <c r="AQ181" s="46"/>
      <c r="AR181" s="46"/>
      <c r="AS181" s="46"/>
      <c r="AT181" s="46"/>
      <c r="AU181" s="46"/>
      <c r="AV181" s="46"/>
      <c r="AW181" s="46"/>
      <c r="AX181" s="46"/>
      <c r="AY181" s="46"/>
      <c r="AZ181" s="46"/>
      <c r="BA181" s="46"/>
      <c r="BB181" s="46"/>
      <c r="BC181" s="46"/>
      <c r="BD181" s="46"/>
      <c r="BE181" s="46"/>
      <c r="BF181" s="46"/>
      <c r="BG181" s="46"/>
      <c r="BH181" s="46"/>
      <c r="BI181" s="46"/>
      <c r="BJ181" s="46"/>
      <c r="BK181" s="46"/>
      <c r="BL181" s="46"/>
      <c r="BM181" s="46"/>
      <c r="BN181" s="46"/>
      <c r="BO181" s="46"/>
      <c r="BP181" s="46"/>
      <c r="BQ181" s="46"/>
      <c r="BR181" s="46"/>
      <c r="BS181" s="46"/>
      <c r="BT181" s="46"/>
      <c r="BU181" s="46"/>
      <c r="BV181" s="46"/>
      <c r="BW181" s="46"/>
    </row>
    <row r="182" spans="2:75" x14ac:dyDescent="0.2">
      <c r="B182" s="46"/>
      <c r="C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E182" s="46"/>
      <c r="AF182" s="46"/>
      <c r="AG182" s="48"/>
      <c r="AH182" s="48"/>
      <c r="AI182" s="46"/>
      <c r="AJ182" s="46"/>
      <c r="AK182" s="46"/>
      <c r="AL182" s="46"/>
      <c r="AM182" s="46"/>
      <c r="AN182" s="46"/>
      <c r="AO182" s="46"/>
      <c r="AP182" s="46"/>
      <c r="AQ182" s="46"/>
      <c r="AR182" s="46"/>
      <c r="AS182" s="46"/>
      <c r="AT182" s="46"/>
      <c r="AU182" s="46"/>
      <c r="AV182" s="46"/>
      <c r="AW182" s="46"/>
      <c r="AX182" s="46"/>
      <c r="AY182" s="46"/>
      <c r="AZ182" s="46"/>
      <c r="BA182" s="46"/>
      <c r="BB182" s="46"/>
      <c r="BC182" s="46"/>
      <c r="BD182" s="46"/>
      <c r="BE182" s="46"/>
      <c r="BF182" s="46"/>
      <c r="BG182" s="46"/>
      <c r="BH182" s="46"/>
      <c r="BI182" s="46"/>
      <c r="BJ182" s="46"/>
      <c r="BK182" s="46"/>
      <c r="BL182" s="46"/>
      <c r="BM182" s="46"/>
      <c r="BN182" s="46"/>
      <c r="BO182" s="46"/>
      <c r="BP182" s="46"/>
      <c r="BQ182" s="46"/>
      <c r="BR182" s="46"/>
      <c r="BS182" s="46"/>
      <c r="BT182" s="46"/>
      <c r="BU182" s="46"/>
      <c r="BV182" s="46"/>
      <c r="BW182" s="46"/>
    </row>
    <row r="183" spans="2:75" x14ac:dyDescent="0.2">
      <c r="B183" s="46"/>
      <c r="C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E183" s="46"/>
      <c r="AF183" s="46"/>
      <c r="AG183" s="48"/>
      <c r="AH183" s="48"/>
      <c r="AI183" s="46"/>
      <c r="AJ183" s="46"/>
      <c r="AK183" s="46"/>
      <c r="AL183" s="46"/>
      <c r="AM183" s="46"/>
      <c r="AN183" s="46"/>
      <c r="AO183" s="46"/>
      <c r="AP183" s="46"/>
      <c r="AQ183" s="46"/>
      <c r="AR183" s="46"/>
      <c r="AS183" s="46"/>
      <c r="AT183" s="46"/>
      <c r="AU183" s="46"/>
      <c r="AV183" s="46"/>
      <c r="AW183" s="46"/>
      <c r="AX183" s="46"/>
      <c r="AY183" s="46"/>
      <c r="AZ183" s="46"/>
      <c r="BA183" s="46"/>
      <c r="BB183" s="46"/>
      <c r="BC183" s="46"/>
      <c r="BD183" s="46"/>
      <c r="BE183" s="46"/>
      <c r="BF183" s="46"/>
      <c r="BG183" s="46"/>
      <c r="BH183" s="46"/>
      <c r="BI183" s="46"/>
      <c r="BJ183" s="46"/>
      <c r="BK183" s="46"/>
      <c r="BL183" s="46"/>
      <c r="BM183" s="46"/>
      <c r="BN183" s="46"/>
      <c r="BO183" s="46"/>
      <c r="BP183" s="46"/>
      <c r="BQ183" s="46"/>
      <c r="BR183" s="46"/>
      <c r="BS183" s="46"/>
      <c r="BT183" s="46"/>
      <c r="BU183" s="46"/>
      <c r="BV183" s="46"/>
      <c r="BW183" s="46"/>
    </row>
    <row r="184" spans="2:75" x14ac:dyDescent="0.2">
      <c r="B184" s="46"/>
      <c r="C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E184" s="46"/>
      <c r="AF184" s="46"/>
      <c r="AG184" s="48"/>
      <c r="AH184" s="48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46"/>
      <c r="AY184" s="46"/>
      <c r="AZ184" s="46"/>
      <c r="BA184" s="46"/>
      <c r="BB184" s="46"/>
      <c r="BC184" s="46"/>
      <c r="BD184" s="46"/>
      <c r="BE184" s="46"/>
      <c r="BF184" s="46"/>
      <c r="BG184" s="46"/>
      <c r="BH184" s="46"/>
      <c r="BI184" s="46"/>
      <c r="BJ184" s="46"/>
      <c r="BK184" s="46"/>
      <c r="BL184" s="46"/>
      <c r="BM184" s="46"/>
      <c r="BN184" s="46"/>
      <c r="BO184" s="46"/>
      <c r="BP184" s="46"/>
      <c r="BQ184" s="46"/>
      <c r="BR184" s="46"/>
      <c r="BS184" s="46"/>
      <c r="BT184" s="46"/>
      <c r="BU184" s="46"/>
      <c r="BV184" s="46"/>
      <c r="BW184" s="46"/>
    </row>
    <row r="185" spans="2:75" x14ac:dyDescent="0.2">
      <c r="B185" s="46"/>
      <c r="C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E185" s="46"/>
      <c r="AF185" s="46"/>
      <c r="AG185" s="48"/>
      <c r="AH185" s="48"/>
      <c r="AI185" s="46"/>
      <c r="AJ185" s="46"/>
      <c r="AK185" s="46"/>
      <c r="AL185" s="46"/>
      <c r="AM185" s="46"/>
      <c r="AN185" s="46"/>
      <c r="AO185" s="46"/>
      <c r="AP185" s="46"/>
      <c r="AQ185" s="46"/>
      <c r="AR185" s="46"/>
      <c r="AS185" s="46"/>
      <c r="AT185" s="46"/>
      <c r="AU185" s="46"/>
      <c r="AV185" s="46"/>
      <c r="AW185" s="46"/>
      <c r="AX185" s="46"/>
      <c r="AY185" s="46"/>
      <c r="AZ185" s="46"/>
      <c r="BA185" s="46"/>
      <c r="BB185" s="46"/>
      <c r="BC185" s="46"/>
      <c r="BD185" s="46"/>
      <c r="BE185" s="46"/>
      <c r="BF185" s="46"/>
      <c r="BG185" s="46"/>
      <c r="BH185" s="46"/>
      <c r="BI185" s="46"/>
      <c r="BJ185" s="46"/>
      <c r="BK185" s="46"/>
      <c r="BL185" s="46"/>
      <c r="BM185" s="46"/>
      <c r="BN185" s="46"/>
      <c r="BO185" s="46"/>
      <c r="BP185" s="46"/>
      <c r="BQ185" s="46"/>
      <c r="BR185" s="46"/>
      <c r="BS185" s="46"/>
      <c r="BT185" s="46"/>
      <c r="BU185" s="46"/>
      <c r="BV185" s="46"/>
      <c r="BW185" s="46"/>
    </row>
    <row r="186" spans="2:75" x14ac:dyDescent="0.2">
      <c r="B186" s="46"/>
      <c r="C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E186" s="46"/>
      <c r="AF186" s="46"/>
      <c r="AG186" s="48"/>
      <c r="AH186" s="48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46"/>
      <c r="BO186" s="46"/>
      <c r="BP186" s="46"/>
      <c r="BQ186" s="46"/>
      <c r="BR186" s="46"/>
      <c r="BS186" s="46"/>
      <c r="BT186" s="46"/>
      <c r="BU186" s="46"/>
      <c r="BV186" s="46"/>
      <c r="BW186" s="46"/>
    </row>
    <row r="187" spans="2:75" x14ac:dyDescent="0.2">
      <c r="B187" s="46"/>
      <c r="C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E187" s="46"/>
      <c r="AF187" s="46"/>
      <c r="AG187" s="48"/>
      <c r="AH187" s="48"/>
      <c r="AI187" s="46"/>
      <c r="AJ187" s="46"/>
      <c r="AK187" s="46"/>
      <c r="AL187" s="46"/>
      <c r="AM187" s="46"/>
      <c r="AN187" s="46"/>
      <c r="AO187" s="46"/>
      <c r="AP187" s="46"/>
      <c r="AQ187" s="46"/>
      <c r="AR187" s="46"/>
      <c r="AS187" s="46"/>
      <c r="AT187" s="46"/>
      <c r="AU187" s="46"/>
      <c r="AV187" s="46"/>
      <c r="AW187" s="46"/>
      <c r="AX187" s="46"/>
      <c r="AY187" s="46"/>
      <c r="AZ187" s="46"/>
      <c r="BA187" s="46"/>
      <c r="BB187" s="46"/>
      <c r="BC187" s="46"/>
      <c r="BD187" s="46"/>
      <c r="BE187" s="46"/>
      <c r="BF187" s="46"/>
      <c r="BG187" s="46"/>
      <c r="BH187" s="46"/>
      <c r="BI187" s="46"/>
      <c r="BJ187" s="46"/>
      <c r="BK187" s="46"/>
      <c r="BL187" s="46"/>
      <c r="BM187" s="46"/>
      <c r="BN187" s="46"/>
      <c r="BO187" s="46"/>
      <c r="BP187" s="46"/>
      <c r="BQ187" s="46"/>
      <c r="BR187" s="46"/>
      <c r="BS187" s="46"/>
      <c r="BT187" s="46"/>
      <c r="BU187" s="46"/>
      <c r="BV187" s="46"/>
      <c r="BW187" s="46"/>
    </row>
    <row r="188" spans="2:75" x14ac:dyDescent="0.2">
      <c r="B188" s="46"/>
      <c r="C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E188" s="46"/>
      <c r="AF188" s="46"/>
      <c r="AG188" s="48"/>
      <c r="AH188" s="48"/>
      <c r="AI188" s="46"/>
      <c r="AJ188" s="46"/>
      <c r="AK188" s="46"/>
      <c r="AL188" s="46"/>
      <c r="AM188" s="46"/>
      <c r="AN188" s="46"/>
      <c r="AO188" s="46"/>
      <c r="AP188" s="46"/>
      <c r="AQ188" s="46"/>
      <c r="AR188" s="46"/>
      <c r="AS188" s="46"/>
      <c r="AT188" s="46"/>
      <c r="AU188" s="46"/>
      <c r="AV188" s="46"/>
      <c r="AW188" s="46"/>
      <c r="AX188" s="46"/>
      <c r="AY188" s="46"/>
      <c r="AZ188" s="46"/>
      <c r="BA188" s="46"/>
      <c r="BB188" s="46"/>
      <c r="BC188" s="46"/>
      <c r="BD188" s="46"/>
      <c r="BE188" s="46"/>
      <c r="BF188" s="46"/>
      <c r="BG188" s="46"/>
      <c r="BH188" s="46"/>
      <c r="BI188" s="46"/>
      <c r="BJ188" s="46"/>
      <c r="BK188" s="46"/>
      <c r="BL188" s="46"/>
      <c r="BM188" s="46"/>
      <c r="BN188" s="46"/>
      <c r="BO188" s="46"/>
      <c r="BP188" s="46"/>
      <c r="BQ188" s="46"/>
      <c r="BR188" s="46"/>
      <c r="BS188" s="46"/>
      <c r="BT188" s="46"/>
      <c r="BU188" s="46"/>
      <c r="BV188" s="46"/>
      <c r="BW188" s="46"/>
    </row>
    <row r="189" spans="2:75" x14ac:dyDescent="0.2">
      <c r="B189" s="46"/>
      <c r="C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E189" s="46"/>
      <c r="AF189" s="46"/>
      <c r="AG189" s="48"/>
      <c r="AH189" s="48"/>
      <c r="AI189" s="46"/>
      <c r="AJ189" s="46"/>
      <c r="AK189" s="46"/>
      <c r="AL189" s="46"/>
      <c r="AM189" s="46"/>
      <c r="AN189" s="46"/>
      <c r="AO189" s="46"/>
      <c r="AP189" s="46"/>
      <c r="AQ189" s="46"/>
      <c r="AR189" s="46"/>
      <c r="AS189" s="46"/>
      <c r="AT189" s="46"/>
      <c r="AU189" s="46"/>
      <c r="AV189" s="46"/>
      <c r="AW189" s="46"/>
      <c r="AX189" s="46"/>
      <c r="AY189" s="46"/>
      <c r="AZ189" s="46"/>
      <c r="BA189" s="46"/>
      <c r="BB189" s="46"/>
      <c r="BC189" s="46"/>
      <c r="BD189" s="46"/>
      <c r="BE189" s="46"/>
      <c r="BF189" s="46"/>
      <c r="BG189" s="46"/>
      <c r="BH189" s="46"/>
      <c r="BI189" s="46"/>
      <c r="BJ189" s="46"/>
      <c r="BK189" s="46"/>
      <c r="BL189" s="46"/>
      <c r="BM189" s="46"/>
      <c r="BN189" s="46"/>
      <c r="BO189" s="46"/>
      <c r="BP189" s="46"/>
      <c r="BQ189" s="46"/>
      <c r="BR189" s="46"/>
      <c r="BS189" s="46"/>
      <c r="BT189" s="46"/>
      <c r="BU189" s="46"/>
      <c r="BV189" s="46"/>
      <c r="BW189" s="46"/>
    </row>
    <row r="190" spans="2:75" x14ac:dyDescent="0.2">
      <c r="B190" s="46"/>
      <c r="C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E190" s="46"/>
      <c r="AF190" s="46"/>
      <c r="AG190" s="48"/>
      <c r="AH190" s="48"/>
      <c r="AI190" s="46"/>
      <c r="AJ190" s="46"/>
      <c r="AK190" s="46"/>
      <c r="AL190" s="46"/>
      <c r="AM190" s="46"/>
      <c r="AN190" s="46"/>
      <c r="AO190" s="46"/>
      <c r="AP190" s="46"/>
      <c r="AQ190" s="46"/>
      <c r="AR190" s="46"/>
      <c r="AS190" s="46"/>
      <c r="AT190" s="46"/>
      <c r="AU190" s="46"/>
      <c r="AV190" s="46"/>
      <c r="AW190" s="46"/>
      <c r="AX190" s="46"/>
      <c r="AY190" s="46"/>
      <c r="AZ190" s="46"/>
      <c r="BA190" s="46"/>
      <c r="BB190" s="46"/>
      <c r="BC190" s="46"/>
      <c r="BD190" s="46"/>
      <c r="BE190" s="46"/>
      <c r="BF190" s="46"/>
      <c r="BG190" s="46"/>
      <c r="BH190" s="46"/>
      <c r="BI190" s="46"/>
      <c r="BJ190" s="46"/>
      <c r="BK190" s="46"/>
      <c r="BL190" s="46"/>
      <c r="BM190" s="46"/>
      <c r="BN190" s="46"/>
      <c r="BO190" s="46"/>
      <c r="BP190" s="46"/>
      <c r="BQ190" s="46"/>
      <c r="BR190" s="46"/>
      <c r="BS190" s="46"/>
      <c r="BT190" s="46"/>
      <c r="BU190" s="46"/>
      <c r="BV190" s="46"/>
      <c r="BW190" s="46"/>
    </row>
    <row r="191" spans="2:75" x14ac:dyDescent="0.2">
      <c r="B191" s="46"/>
      <c r="C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E191" s="46"/>
      <c r="AF191" s="46"/>
      <c r="AG191" s="48"/>
      <c r="AH191" s="48"/>
      <c r="AI191" s="46"/>
      <c r="AJ191" s="46"/>
      <c r="AK191" s="46"/>
      <c r="AL191" s="46"/>
      <c r="AM191" s="46"/>
      <c r="AN191" s="46"/>
      <c r="AO191" s="46"/>
      <c r="AP191" s="46"/>
      <c r="AQ191" s="46"/>
      <c r="AR191" s="46"/>
      <c r="AS191" s="46"/>
      <c r="AT191" s="46"/>
      <c r="AU191" s="46"/>
      <c r="AV191" s="46"/>
      <c r="AW191" s="46"/>
      <c r="AX191" s="46"/>
      <c r="AY191" s="46"/>
      <c r="AZ191" s="46"/>
      <c r="BA191" s="46"/>
      <c r="BB191" s="46"/>
      <c r="BC191" s="46"/>
      <c r="BD191" s="46"/>
      <c r="BE191" s="46"/>
      <c r="BF191" s="46"/>
      <c r="BG191" s="46"/>
      <c r="BH191" s="46"/>
      <c r="BI191" s="46"/>
      <c r="BJ191" s="46"/>
      <c r="BK191" s="46"/>
      <c r="BL191" s="46"/>
      <c r="BM191" s="46"/>
      <c r="BN191" s="46"/>
      <c r="BO191" s="46"/>
      <c r="BP191" s="46"/>
      <c r="BQ191" s="46"/>
      <c r="BR191" s="46"/>
      <c r="BS191" s="46"/>
      <c r="BT191" s="46"/>
      <c r="BU191" s="46"/>
      <c r="BV191" s="46"/>
      <c r="BW191" s="46"/>
    </row>
    <row r="192" spans="2:75" x14ac:dyDescent="0.2">
      <c r="B192" s="46"/>
      <c r="C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E192" s="46"/>
      <c r="AF192" s="46"/>
      <c r="AG192" s="48"/>
      <c r="AH192" s="48"/>
      <c r="AI192" s="46"/>
      <c r="AJ192" s="46"/>
      <c r="AK192" s="46"/>
      <c r="AL192" s="46"/>
      <c r="AM192" s="46"/>
      <c r="AN192" s="46"/>
      <c r="AO192" s="46"/>
      <c r="AP192" s="46"/>
      <c r="AQ192" s="46"/>
      <c r="AR192" s="46"/>
      <c r="AS192" s="46"/>
      <c r="AT192" s="46"/>
      <c r="AU192" s="46"/>
      <c r="AV192" s="46"/>
      <c r="AW192" s="46"/>
      <c r="AX192" s="46"/>
      <c r="AY192" s="46"/>
      <c r="AZ192" s="46"/>
      <c r="BA192" s="46"/>
      <c r="BB192" s="46"/>
      <c r="BC192" s="46"/>
      <c r="BD192" s="46"/>
      <c r="BE192" s="46"/>
      <c r="BF192" s="46"/>
      <c r="BG192" s="46"/>
      <c r="BH192" s="46"/>
      <c r="BI192" s="46"/>
      <c r="BJ192" s="46"/>
      <c r="BK192" s="46"/>
      <c r="BL192" s="46"/>
      <c r="BM192" s="46"/>
      <c r="BN192" s="46"/>
      <c r="BO192" s="46"/>
      <c r="BP192" s="46"/>
      <c r="BQ192" s="46"/>
      <c r="BR192" s="46"/>
      <c r="BS192" s="46"/>
      <c r="BT192" s="46"/>
      <c r="BU192" s="46"/>
      <c r="BV192" s="46"/>
      <c r="BW192" s="46"/>
    </row>
    <row r="193" spans="2:75" x14ac:dyDescent="0.2">
      <c r="B193" s="46"/>
      <c r="C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E193" s="46"/>
      <c r="AF193" s="46"/>
      <c r="AG193" s="48"/>
      <c r="AH193" s="48"/>
      <c r="AI193" s="46"/>
      <c r="AJ193" s="46"/>
      <c r="AK193" s="46"/>
      <c r="AL193" s="46"/>
      <c r="AM193" s="46"/>
      <c r="AN193" s="46"/>
      <c r="AO193" s="46"/>
      <c r="AP193" s="46"/>
      <c r="AQ193" s="46"/>
      <c r="AR193" s="46"/>
      <c r="AS193" s="46"/>
      <c r="AT193" s="46"/>
      <c r="AU193" s="46"/>
      <c r="AV193" s="46"/>
      <c r="AW193" s="46"/>
      <c r="AX193" s="46"/>
      <c r="AY193" s="46"/>
      <c r="AZ193" s="46"/>
      <c r="BA193" s="46"/>
      <c r="BB193" s="46"/>
      <c r="BC193" s="46"/>
      <c r="BD193" s="46"/>
      <c r="BE193" s="46"/>
      <c r="BF193" s="46"/>
      <c r="BG193" s="46"/>
      <c r="BH193" s="46"/>
      <c r="BI193" s="46"/>
      <c r="BJ193" s="46"/>
      <c r="BK193" s="46"/>
      <c r="BL193" s="46"/>
      <c r="BM193" s="46"/>
      <c r="BN193" s="46"/>
      <c r="BO193" s="46"/>
      <c r="BP193" s="46"/>
      <c r="BQ193" s="46"/>
      <c r="BR193" s="46"/>
      <c r="BS193" s="46"/>
      <c r="BT193" s="46"/>
      <c r="BU193" s="46"/>
      <c r="BV193" s="46"/>
      <c r="BW193" s="46"/>
    </row>
    <row r="194" spans="2:75" x14ac:dyDescent="0.2">
      <c r="B194" s="46"/>
      <c r="C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E194" s="46"/>
      <c r="AF194" s="46"/>
      <c r="AG194" s="48"/>
      <c r="AH194" s="48"/>
      <c r="AI194" s="46"/>
      <c r="AJ194" s="46"/>
      <c r="AK194" s="46"/>
      <c r="AL194" s="46"/>
      <c r="AM194" s="46"/>
      <c r="AN194" s="46"/>
      <c r="AO194" s="46"/>
      <c r="AP194" s="46"/>
      <c r="AQ194" s="46"/>
      <c r="AR194" s="46"/>
      <c r="AS194" s="46"/>
      <c r="AT194" s="46"/>
      <c r="AU194" s="46"/>
      <c r="AV194" s="46"/>
      <c r="AW194" s="46"/>
      <c r="AX194" s="46"/>
      <c r="AY194" s="46"/>
      <c r="AZ194" s="46"/>
      <c r="BA194" s="46"/>
      <c r="BB194" s="46"/>
      <c r="BC194" s="46"/>
      <c r="BD194" s="46"/>
      <c r="BE194" s="46"/>
      <c r="BF194" s="46"/>
      <c r="BG194" s="46"/>
      <c r="BH194" s="46"/>
      <c r="BI194" s="46"/>
      <c r="BJ194" s="46"/>
      <c r="BK194" s="46"/>
      <c r="BL194" s="46"/>
      <c r="BM194" s="46"/>
      <c r="BN194" s="46"/>
      <c r="BO194" s="46"/>
      <c r="BP194" s="46"/>
      <c r="BQ194" s="46"/>
      <c r="BR194" s="46"/>
      <c r="BS194" s="46"/>
      <c r="BT194" s="46"/>
      <c r="BU194" s="46"/>
      <c r="BV194" s="46"/>
      <c r="BW194" s="46"/>
    </row>
    <row r="195" spans="2:75" x14ac:dyDescent="0.2">
      <c r="B195" s="46"/>
      <c r="C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E195" s="46"/>
      <c r="AF195" s="46"/>
      <c r="AG195" s="48"/>
      <c r="AH195" s="48"/>
      <c r="AI195" s="46"/>
      <c r="AJ195" s="46"/>
      <c r="AK195" s="46"/>
      <c r="AL195" s="46"/>
      <c r="AM195" s="46"/>
      <c r="AN195" s="46"/>
      <c r="AO195" s="46"/>
      <c r="AP195" s="46"/>
      <c r="AQ195" s="46"/>
      <c r="AR195" s="46"/>
      <c r="AS195" s="46"/>
      <c r="AT195" s="46"/>
      <c r="AU195" s="46"/>
      <c r="AV195" s="46"/>
      <c r="AW195" s="46"/>
      <c r="AX195" s="46"/>
      <c r="AY195" s="46"/>
      <c r="AZ195" s="46"/>
      <c r="BA195" s="46"/>
      <c r="BB195" s="46"/>
      <c r="BC195" s="46"/>
      <c r="BD195" s="46"/>
      <c r="BE195" s="46"/>
      <c r="BF195" s="46"/>
      <c r="BG195" s="46"/>
      <c r="BH195" s="46"/>
      <c r="BI195" s="46"/>
      <c r="BJ195" s="46"/>
      <c r="BK195" s="46"/>
      <c r="BL195" s="46"/>
      <c r="BM195" s="46"/>
      <c r="BN195" s="46"/>
      <c r="BO195" s="46"/>
      <c r="BP195" s="46"/>
      <c r="BQ195" s="46"/>
      <c r="BR195" s="46"/>
      <c r="BS195" s="46"/>
      <c r="BT195" s="46"/>
      <c r="BU195" s="46"/>
      <c r="BV195" s="46"/>
      <c r="BW195" s="46"/>
    </row>
    <row r="196" spans="2:75" x14ac:dyDescent="0.2">
      <c r="B196" s="46"/>
      <c r="C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E196" s="46"/>
      <c r="AF196" s="46"/>
      <c r="AG196" s="48"/>
      <c r="AH196" s="48"/>
      <c r="AI196" s="46"/>
      <c r="AJ196" s="46"/>
      <c r="AK196" s="46"/>
      <c r="AL196" s="46"/>
      <c r="AM196" s="46"/>
      <c r="AN196" s="46"/>
      <c r="AO196" s="46"/>
      <c r="AP196" s="46"/>
      <c r="AQ196" s="46"/>
      <c r="AR196" s="46"/>
      <c r="AS196" s="46"/>
      <c r="AT196" s="46"/>
      <c r="AU196" s="46"/>
      <c r="AV196" s="46"/>
      <c r="AW196" s="46"/>
      <c r="AX196" s="46"/>
      <c r="AY196" s="46"/>
      <c r="AZ196" s="46"/>
      <c r="BA196" s="46"/>
      <c r="BB196" s="46"/>
      <c r="BC196" s="46"/>
      <c r="BD196" s="46"/>
      <c r="BE196" s="46"/>
      <c r="BF196" s="46"/>
      <c r="BG196" s="46"/>
      <c r="BH196" s="46"/>
      <c r="BI196" s="46"/>
      <c r="BJ196" s="46"/>
      <c r="BK196" s="46"/>
      <c r="BL196" s="46"/>
      <c r="BM196" s="46"/>
      <c r="BN196" s="46"/>
      <c r="BO196" s="46"/>
      <c r="BP196" s="46"/>
      <c r="BQ196" s="46"/>
      <c r="BR196" s="46"/>
      <c r="BS196" s="46"/>
      <c r="BT196" s="46"/>
      <c r="BU196" s="46"/>
      <c r="BV196" s="46"/>
      <c r="BW196" s="46"/>
    </row>
    <row r="197" spans="2:75" x14ac:dyDescent="0.2">
      <c r="B197" s="46"/>
      <c r="C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E197" s="46"/>
      <c r="AF197" s="46"/>
      <c r="AG197" s="48"/>
      <c r="AH197" s="48"/>
      <c r="AI197" s="46"/>
      <c r="AJ197" s="46"/>
      <c r="AK197" s="46"/>
      <c r="AL197" s="46"/>
      <c r="AM197" s="46"/>
      <c r="AN197" s="46"/>
      <c r="AO197" s="46"/>
      <c r="AP197" s="46"/>
      <c r="AQ197" s="46"/>
      <c r="AR197" s="46"/>
      <c r="AS197" s="46"/>
      <c r="AT197" s="46"/>
      <c r="AU197" s="46"/>
      <c r="AV197" s="46"/>
      <c r="AW197" s="46"/>
      <c r="AX197" s="46"/>
      <c r="AY197" s="46"/>
      <c r="AZ197" s="46"/>
      <c r="BA197" s="46"/>
      <c r="BB197" s="46"/>
      <c r="BC197" s="46"/>
      <c r="BD197" s="46"/>
      <c r="BE197" s="46"/>
      <c r="BF197" s="46"/>
      <c r="BG197" s="46"/>
      <c r="BH197" s="46"/>
      <c r="BI197" s="46"/>
      <c r="BJ197" s="46"/>
      <c r="BK197" s="46"/>
      <c r="BL197" s="46"/>
      <c r="BM197" s="46"/>
      <c r="BN197" s="46"/>
      <c r="BO197" s="46"/>
      <c r="BP197" s="46"/>
      <c r="BQ197" s="46"/>
      <c r="BR197" s="46"/>
      <c r="BS197" s="46"/>
      <c r="BT197" s="46"/>
      <c r="BU197" s="46"/>
      <c r="BV197" s="46"/>
      <c r="BW197" s="46"/>
    </row>
    <row r="198" spans="2:75" x14ac:dyDescent="0.2">
      <c r="B198" s="46"/>
      <c r="C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E198" s="46"/>
      <c r="AF198" s="46"/>
      <c r="AG198" s="48"/>
      <c r="AH198" s="48"/>
      <c r="AI198" s="46"/>
      <c r="AJ198" s="46"/>
      <c r="AK198" s="46"/>
      <c r="AL198" s="46"/>
      <c r="AM198" s="46"/>
      <c r="AN198" s="46"/>
      <c r="AO198" s="46"/>
      <c r="AP198" s="46"/>
      <c r="AQ198" s="46"/>
      <c r="AR198" s="46"/>
      <c r="AS198" s="46"/>
      <c r="AT198" s="46"/>
      <c r="AU198" s="46"/>
      <c r="AV198" s="46"/>
      <c r="AW198" s="46"/>
      <c r="AX198" s="46"/>
      <c r="AY198" s="46"/>
      <c r="AZ198" s="46"/>
      <c r="BA198" s="46"/>
      <c r="BB198" s="46"/>
      <c r="BC198" s="46"/>
      <c r="BD198" s="46"/>
      <c r="BE198" s="46"/>
      <c r="BF198" s="46"/>
      <c r="BG198" s="46"/>
      <c r="BH198" s="46"/>
      <c r="BI198" s="46"/>
      <c r="BJ198" s="46"/>
      <c r="BK198" s="46"/>
      <c r="BL198" s="46"/>
      <c r="BM198" s="46"/>
      <c r="BN198" s="46"/>
      <c r="BO198" s="46"/>
      <c r="BP198" s="46"/>
      <c r="BQ198" s="46"/>
      <c r="BR198" s="46"/>
      <c r="BS198" s="46"/>
      <c r="BT198" s="46"/>
      <c r="BU198" s="46"/>
      <c r="BV198" s="46"/>
      <c r="BW198" s="46"/>
    </row>
    <row r="199" spans="2:75" x14ac:dyDescent="0.2">
      <c r="B199" s="46"/>
      <c r="C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E199" s="46"/>
      <c r="AF199" s="46"/>
      <c r="AG199" s="48"/>
      <c r="AH199" s="48"/>
      <c r="AI199" s="46"/>
      <c r="AJ199" s="46"/>
      <c r="AK199" s="46"/>
      <c r="AL199" s="46"/>
      <c r="AM199" s="46"/>
      <c r="AN199" s="46"/>
      <c r="AO199" s="46"/>
      <c r="AP199" s="46"/>
      <c r="AQ199" s="46"/>
      <c r="AR199" s="46"/>
      <c r="AS199" s="46"/>
      <c r="AT199" s="46"/>
      <c r="AU199" s="46"/>
      <c r="AV199" s="46"/>
      <c r="AW199" s="46"/>
      <c r="AX199" s="46"/>
      <c r="AY199" s="46"/>
      <c r="AZ199" s="46"/>
      <c r="BA199" s="46"/>
      <c r="BB199" s="46"/>
      <c r="BC199" s="46"/>
      <c r="BD199" s="46"/>
      <c r="BE199" s="46"/>
      <c r="BF199" s="46"/>
      <c r="BG199" s="46"/>
      <c r="BH199" s="46"/>
      <c r="BI199" s="46"/>
      <c r="BJ199" s="46"/>
      <c r="BK199" s="46"/>
      <c r="BL199" s="46"/>
      <c r="BM199" s="46"/>
      <c r="BN199" s="46"/>
      <c r="BO199" s="46"/>
      <c r="BP199" s="46"/>
      <c r="BQ199" s="46"/>
      <c r="BR199" s="46"/>
      <c r="BS199" s="46"/>
      <c r="BT199" s="46"/>
      <c r="BU199" s="46"/>
      <c r="BV199" s="46"/>
      <c r="BW199" s="46"/>
    </row>
    <row r="200" spans="2:75" x14ac:dyDescent="0.2">
      <c r="B200" s="46"/>
      <c r="C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E200" s="46"/>
      <c r="AF200" s="46"/>
      <c r="AG200" s="48"/>
      <c r="AH200" s="48"/>
      <c r="AI200" s="46"/>
      <c r="AJ200" s="46"/>
      <c r="AK200" s="46"/>
      <c r="AL200" s="46"/>
      <c r="AM200" s="46"/>
      <c r="AN200" s="46"/>
      <c r="AO200" s="46"/>
      <c r="AP200" s="46"/>
      <c r="AQ200" s="46"/>
      <c r="AR200" s="46"/>
      <c r="AS200" s="46"/>
      <c r="AT200" s="46"/>
      <c r="AU200" s="46"/>
      <c r="AV200" s="46"/>
      <c r="AW200" s="46"/>
      <c r="AX200" s="46"/>
      <c r="AY200" s="46"/>
      <c r="AZ200" s="46"/>
      <c r="BA200" s="46"/>
      <c r="BB200" s="46"/>
      <c r="BC200" s="46"/>
      <c r="BD200" s="46"/>
      <c r="BE200" s="46"/>
      <c r="BF200" s="46"/>
      <c r="BG200" s="46"/>
      <c r="BH200" s="46"/>
      <c r="BI200" s="46"/>
      <c r="BJ200" s="46"/>
      <c r="BK200" s="46"/>
      <c r="BL200" s="46"/>
      <c r="BM200" s="46"/>
      <c r="BN200" s="46"/>
      <c r="BO200" s="46"/>
      <c r="BP200" s="46"/>
      <c r="BQ200" s="46"/>
      <c r="BR200" s="46"/>
      <c r="BS200" s="46"/>
      <c r="BT200" s="46"/>
      <c r="BU200" s="46"/>
      <c r="BV200" s="46"/>
      <c r="BW200" s="46"/>
    </row>
    <row r="201" spans="2:75" x14ac:dyDescent="0.2">
      <c r="B201" s="46"/>
      <c r="C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E201" s="46"/>
      <c r="AF201" s="46"/>
      <c r="AG201" s="48"/>
      <c r="AH201" s="48"/>
      <c r="AI201" s="46"/>
      <c r="AJ201" s="46"/>
      <c r="AK201" s="46"/>
      <c r="AL201" s="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  <c r="BA201" s="46"/>
      <c r="BB201" s="46"/>
      <c r="BC201" s="46"/>
      <c r="BD201" s="46"/>
      <c r="BE201" s="46"/>
      <c r="BF201" s="46"/>
      <c r="BG201" s="46"/>
      <c r="BH201" s="46"/>
      <c r="BI201" s="46"/>
      <c r="BJ201" s="46"/>
      <c r="BK201" s="46"/>
      <c r="BL201" s="46"/>
      <c r="BM201" s="46"/>
      <c r="BN201" s="46"/>
      <c r="BO201" s="46"/>
      <c r="BP201" s="46"/>
      <c r="BQ201" s="46"/>
      <c r="BR201" s="46"/>
      <c r="BS201" s="46"/>
      <c r="BT201" s="46"/>
      <c r="BU201" s="46"/>
      <c r="BV201" s="46"/>
      <c r="BW201" s="46"/>
    </row>
    <row r="202" spans="2:75" x14ac:dyDescent="0.2">
      <c r="B202" s="46"/>
      <c r="C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E202" s="46"/>
      <c r="AF202" s="46"/>
      <c r="AG202" s="48"/>
      <c r="AH202" s="48"/>
      <c r="AI202" s="46"/>
      <c r="AJ202" s="46"/>
      <c r="AK202" s="46"/>
      <c r="AL202" s="46"/>
      <c r="AM202" s="46"/>
      <c r="AN202" s="46"/>
      <c r="AO202" s="46"/>
      <c r="AP202" s="46"/>
      <c r="AQ202" s="46"/>
      <c r="AR202" s="46"/>
      <c r="AS202" s="46"/>
      <c r="AT202" s="46"/>
      <c r="AU202" s="46"/>
      <c r="AV202" s="46"/>
      <c r="AW202" s="46"/>
      <c r="AX202" s="46"/>
      <c r="AY202" s="46"/>
      <c r="AZ202" s="46"/>
      <c r="BA202" s="46"/>
      <c r="BB202" s="46"/>
      <c r="BC202" s="46"/>
      <c r="BD202" s="46"/>
      <c r="BE202" s="46"/>
      <c r="BF202" s="46"/>
      <c r="BG202" s="46"/>
      <c r="BH202" s="46"/>
      <c r="BI202" s="46"/>
      <c r="BJ202" s="46"/>
      <c r="BK202" s="46"/>
      <c r="BL202" s="46"/>
      <c r="BM202" s="46"/>
      <c r="BN202" s="46"/>
      <c r="BO202" s="46"/>
      <c r="BP202" s="46"/>
      <c r="BQ202" s="46"/>
      <c r="BR202" s="46"/>
      <c r="BS202" s="46"/>
      <c r="BT202" s="46"/>
      <c r="BU202" s="46"/>
      <c r="BV202" s="46"/>
      <c r="BW202" s="46"/>
    </row>
    <row r="203" spans="2:75" x14ac:dyDescent="0.2">
      <c r="B203" s="46"/>
      <c r="C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E203" s="46"/>
      <c r="AF203" s="46"/>
      <c r="AG203" s="48"/>
      <c r="AH203" s="48"/>
      <c r="AI203" s="46"/>
      <c r="AJ203" s="46"/>
      <c r="AK203" s="46"/>
      <c r="AL203" s="46"/>
      <c r="AM203" s="46"/>
      <c r="AN203" s="46"/>
      <c r="AO203" s="46"/>
      <c r="AP203" s="46"/>
      <c r="AQ203" s="46"/>
      <c r="AR203" s="46"/>
      <c r="AS203" s="46"/>
      <c r="AT203" s="46"/>
      <c r="AU203" s="46"/>
      <c r="AV203" s="46"/>
      <c r="AW203" s="46"/>
      <c r="AX203" s="46"/>
      <c r="AY203" s="46"/>
      <c r="AZ203" s="46"/>
      <c r="BA203" s="46"/>
      <c r="BB203" s="46"/>
      <c r="BC203" s="46"/>
      <c r="BD203" s="46"/>
      <c r="BE203" s="46"/>
      <c r="BF203" s="46"/>
      <c r="BG203" s="46"/>
      <c r="BH203" s="46"/>
      <c r="BI203" s="46"/>
      <c r="BJ203" s="46"/>
      <c r="BK203" s="46"/>
      <c r="BL203" s="46"/>
      <c r="BM203" s="46"/>
      <c r="BN203" s="46"/>
      <c r="BO203" s="46"/>
      <c r="BP203" s="46"/>
      <c r="BQ203" s="46"/>
      <c r="BR203" s="46"/>
      <c r="BS203" s="46"/>
      <c r="BT203" s="46"/>
      <c r="BU203" s="46"/>
      <c r="BV203" s="46"/>
      <c r="BW203" s="46"/>
    </row>
    <row r="204" spans="2:75" x14ac:dyDescent="0.2">
      <c r="B204" s="46"/>
      <c r="C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E204" s="46"/>
      <c r="AF204" s="46"/>
      <c r="AG204" s="48"/>
      <c r="AH204" s="48"/>
      <c r="AI204" s="46"/>
      <c r="AJ204" s="46"/>
      <c r="AK204" s="46"/>
      <c r="AL204" s="46"/>
      <c r="AM204" s="46"/>
      <c r="AN204" s="46"/>
      <c r="AO204" s="46"/>
      <c r="AP204" s="46"/>
      <c r="AQ204" s="46"/>
      <c r="AR204" s="46"/>
      <c r="AS204" s="46"/>
      <c r="AT204" s="46"/>
      <c r="AU204" s="46"/>
      <c r="AV204" s="46"/>
      <c r="AW204" s="46"/>
      <c r="AX204" s="46"/>
      <c r="AY204" s="46"/>
      <c r="AZ204" s="46"/>
      <c r="BA204" s="46"/>
      <c r="BB204" s="46"/>
      <c r="BC204" s="46"/>
      <c r="BD204" s="46"/>
      <c r="BE204" s="46"/>
      <c r="BF204" s="46"/>
      <c r="BG204" s="46"/>
      <c r="BH204" s="46"/>
      <c r="BI204" s="46"/>
      <c r="BJ204" s="46"/>
      <c r="BK204" s="46"/>
      <c r="BL204" s="46"/>
      <c r="BM204" s="46"/>
      <c r="BN204" s="46"/>
      <c r="BO204" s="46"/>
      <c r="BP204" s="46"/>
      <c r="BQ204" s="46"/>
      <c r="BR204" s="46"/>
      <c r="BS204" s="46"/>
      <c r="BT204" s="46"/>
      <c r="BU204" s="46"/>
      <c r="BV204" s="46"/>
      <c r="BW204" s="46"/>
    </row>
    <row r="205" spans="2:75" x14ac:dyDescent="0.2">
      <c r="B205" s="46"/>
      <c r="C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E205" s="46"/>
      <c r="AF205" s="46"/>
      <c r="AG205" s="48"/>
      <c r="AH205" s="48"/>
      <c r="AI205" s="46"/>
      <c r="AJ205" s="46"/>
      <c r="AK205" s="46"/>
      <c r="AL205" s="46"/>
      <c r="AM205" s="46"/>
      <c r="AN205" s="46"/>
      <c r="AO205" s="46"/>
      <c r="AP205" s="46"/>
      <c r="AQ205" s="46"/>
      <c r="AR205" s="46"/>
      <c r="AS205" s="46"/>
      <c r="AT205" s="46"/>
      <c r="AU205" s="46"/>
      <c r="AV205" s="46"/>
      <c r="AW205" s="46"/>
      <c r="AX205" s="46"/>
      <c r="AY205" s="46"/>
      <c r="AZ205" s="46"/>
      <c r="BA205" s="46"/>
      <c r="BB205" s="46"/>
      <c r="BC205" s="46"/>
      <c r="BD205" s="46"/>
      <c r="BE205" s="46"/>
      <c r="BF205" s="46"/>
      <c r="BG205" s="46"/>
      <c r="BH205" s="46"/>
      <c r="BI205" s="46"/>
      <c r="BJ205" s="46"/>
      <c r="BK205" s="46"/>
      <c r="BL205" s="46"/>
      <c r="BM205" s="46"/>
      <c r="BN205" s="46"/>
      <c r="BO205" s="46"/>
      <c r="BP205" s="46"/>
      <c r="BQ205" s="46"/>
      <c r="BR205" s="46"/>
      <c r="BS205" s="46"/>
      <c r="BT205" s="46"/>
      <c r="BU205" s="46"/>
      <c r="BV205" s="46"/>
      <c r="BW205" s="46"/>
    </row>
    <row r="206" spans="2:75" x14ac:dyDescent="0.2">
      <c r="B206" s="46"/>
      <c r="C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E206" s="46"/>
      <c r="AF206" s="46"/>
      <c r="AG206" s="48"/>
      <c r="AH206" s="48"/>
      <c r="AI206" s="46"/>
      <c r="AJ206" s="46"/>
      <c r="AK206" s="46"/>
      <c r="AL206" s="46"/>
      <c r="AM206" s="46"/>
      <c r="AN206" s="46"/>
      <c r="AO206" s="46"/>
      <c r="AP206" s="46"/>
      <c r="AQ206" s="46"/>
      <c r="AR206" s="46"/>
      <c r="AS206" s="46"/>
      <c r="AT206" s="46"/>
      <c r="AU206" s="46"/>
      <c r="AV206" s="46"/>
      <c r="AW206" s="46"/>
      <c r="AX206" s="46"/>
      <c r="AY206" s="46"/>
      <c r="AZ206" s="46"/>
      <c r="BA206" s="46"/>
      <c r="BB206" s="46"/>
      <c r="BC206" s="46"/>
      <c r="BD206" s="46"/>
      <c r="BE206" s="46"/>
      <c r="BF206" s="46"/>
      <c r="BG206" s="46"/>
      <c r="BH206" s="46"/>
      <c r="BI206" s="46"/>
      <c r="BJ206" s="46"/>
      <c r="BK206" s="46"/>
      <c r="BL206" s="46"/>
      <c r="BM206" s="46"/>
      <c r="BN206" s="46"/>
      <c r="BO206" s="46"/>
      <c r="BP206" s="46"/>
      <c r="BQ206" s="46"/>
      <c r="BR206" s="46"/>
      <c r="BS206" s="46"/>
      <c r="BT206" s="46"/>
      <c r="BU206" s="46"/>
      <c r="BV206" s="46"/>
      <c r="BW206" s="46"/>
    </row>
    <row r="207" spans="2:75" x14ac:dyDescent="0.2">
      <c r="B207" s="46"/>
      <c r="C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E207" s="46"/>
      <c r="AF207" s="46"/>
      <c r="AG207" s="48"/>
      <c r="AH207" s="48"/>
      <c r="AI207" s="46"/>
      <c r="AJ207" s="46"/>
      <c r="AK207" s="46"/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  <c r="BB207" s="46"/>
      <c r="BC207" s="46"/>
      <c r="BD207" s="46"/>
      <c r="BE207" s="46"/>
      <c r="BF207" s="46"/>
      <c r="BG207" s="46"/>
      <c r="BH207" s="46"/>
      <c r="BI207" s="46"/>
      <c r="BJ207" s="46"/>
      <c r="BK207" s="46"/>
      <c r="BL207" s="46"/>
      <c r="BM207" s="46"/>
      <c r="BN207" s="46"/>
      <c r="BO207" s="46"/>
      <c r="BP207" s="46"/>
      <c r="BQ207" s="46"/>
      <c r="BR207" s="46"/>
      <c r="BS207" s="46"/>
      <c r="BT207" s="46"/>
      <c r="BU207" s="46"/>
      <c r="BV207" s="46"/>
      <c r="BW207" s="46"/>
    </row>
    <row r="208" spans="2:75" x14ac:dyDescent="0.2">
      <c r="B208" s="46"/>
      <c r="C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E208" s="46"/>
      <c r="AF208" s="46"/>
      <c r="AG208" s="48"/>
      <c r="AH208" s="48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  <c r="BB208" s="46"/>
      <c r="BC208" s="46"/>
      <c r="BD208" s="46"/>
      <c r="BE208" s="46"/>
      <c r="BF208" s="46"/>
      <c r="BG208" s="46"/>
      <c r="BH208" s="46"/>
      <c r="BI208" s="46"/>
      <c r="BJ208" s="46"/>
      <c r="BK208" s="46"/>
      <c r="BL208" s="46"/>
      <c r="BM208" s="46"/>
      <c r="BN208" s="46"/>
      <c r="BO208" s="46"/>
      <c r="BP208" s="46"/>
      <c r="BQ208" s="46"/>
      <c r="BR208" s="46"/>
      <c r="BS208" s="46"/>
      <c r="BT208" s="46"/>
      <c r="BU208" s="46"/>
      <c r="BV208" s="46"/>
      <c r="BW208" s="46"/>
    </row>
    <row r="209" spans="2:75" x14ac:dyDescent="0.2">
      <c r="B209" s="46"/>
      <c r="C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E209" s="46"/>
      <c r="AF209" s="46"/>
      <c r="AG209" s="48"/>
      <c r="AH209" s="48"/>
      <c r="AI209" s="46"/>
      <c r="AJ209" s="46"/>
      <c r="AK209" s="46"/>
      <c r="AL209" s="46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  <c r="BA209" s="46"/>
      <c r="BB209" s="46"/>
      <c r="BC209" s="46"/>
      <c r="BD209" s="46"/>
      <c r="BE209" s="46"/>
      <c r="BF209" s="46"/>
      <c r="BG209" s="46"/>
      <c r="BH209" s="46"/>
      <c r="BI209" s="46"/>
      <c r="BJ209" s="46"/>
      <c r="BK209" s="46"/>
      <c r="BL209" s="46"/>
      <c r="BM209" s="46"/>
      <c r="BN209" s="46"/>
      <c r="BO209" s="46"/>
      <c r="BP209" s="46"/>
      <c r="BQ209" s="46"/>
      <c r="BR209" s="46"/>
      <c r="BS209" s="46"/>
      <c r="BT209" s="46"/>
      <c r="BU209" s="46"/>
      <c r="BV209" s="46"/>
      <c r="BW209" s="46"/>
    </row>
    <row r="210" spans="2:75" x14ac:dyDescent="0.2">
      <c r="B210" s="46"/>
      <c r="C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E210" s="46"/>
      <c r="AF210" s="46"/>
      <c r="AG210" s="48"/>
      <c r="AH210" s="48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  <c r="BB210" s="46"/>
      <c r="BC210" s="46"/>
      <c r="BD210" s="46"/>
      <c r="BE210" s="46"/>
      <c r="BF210" s="46"/>
      <c r="BG210" s="46"/>
      <c r="BH210" s="46"/>
      <c r="BI210" s="46"/>
      <c r="BJ210" s="46"/>
      <c r="BK210" s="46"/>
      <c r="BL210" s="46"/>
      <c r="BM210" s="46"/>
      <c r="BN210" s="46"/>
      <c r="BO210" s="46"/>
      <c r="BP210" s="46"/>
      <c r="BQ210" s="46"/>
      <c r="BR210" s="46"/>
      <c r="BS210" s="46"/>
      <c r="BT210" s="46"/>
      <c r="BU210" s="46"/>
      <c r="BV210" s="46"/>
      <c r="BW210" s="46"/>
    </row>
    <row r="211" spans="2:75" x14ac:dyDescent="0.2">
      <c r="B211" s="46"/>
      <c r="C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E211" s="46"/>
      <c r="AF211" s="46"/>
      <c r="AG211" s="48"/>
      <c r="AH211" s="48"/>
      <c r="AI211" s="46"/>
      <c r="AJ211" s="46"/>
      <c r="AK211" s="46"/>
      <c r="AL211" s="46"/>
      <c r="AM211" s="46"/>
      <c r="AN211" s="46"/>
      <c r="AO211" s="46"/>
      <c r="AP211" s="46"/>
      <c r="AQ211" s="46"/>
      <c r="AR211" s="46"/>
      <c r="AS211" s="46"/>
      <c r="AT211" s="46"/>
      <c r="AU211" s="46"/>
      <c r="AV211" s="46"/>
      <c r="AW211" s="46"/>
      <c r="AX211" s="46"/>
      <c r="AY211" s="46"/>
      <c r="AZ211" s="46"/>
      <c r="BA211" s="46"/>
      <c r="BB211" s="46"/>
      <c r="BC211" s="46"/>
      <c r="BD211" s="46"/>
      <c r="BE211" s="46"/>
      <c r="BF211" s="46"/>
      <c r="BG211" s="46"/>
      <c r="BH211" s="46"/>
      <c r="BI211" s="46"/>
      <c r="BJ211" s="46"/>
      <c r="BK211" s="46"/>
      <c r="BL211" s="46"/>
      <c r="BM211" s="46"/>
      <c r="BN211" s="46"/>
      <c r="BO211" s="46"/>
      <c r="BP211" s="46"/>
      <c r="BQ211" s="46"/>
      <c r="BR211" s="46"/>
      <c r="BS211" s="46"/>
      <c r="BT211" s="46"/>
      <c r="BU211" s="46"/>
      <c r="BV211" s="46"/>
      <c r="BW211" s="46"/>
    </row>
    <row r="212" spans="2:75" x14ac:dyDescent="0.2">
      <c r="B212" s="46"/>
      <c r="C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E212" s="46"/>
      <c r="AF212" s="46"/>
      <c r="AG212" s="48"/>
      <c r="AH212" s="48"/>
      <c r="AI212" s="46"/>
      <c r="AJ212" s="46"/>
      <c r="AK212" s="46"/>
      <c r="AL212" s="46"/>
      <c r="AM212" s="46"/>
      <c r="AN212" s="46"/>
      <c r="AO212" s="46"/>
      <c r="AP212" s="46"/>
      <c r="AQ212" s="46"/>
      <c r="AR212" s="46"/>
      <c r="AS212" s="46"/>
      <c r="AT212" s="46"/>
      <c r="AU212" s="46"/>
      <c r="AV212" s="46"/>
      <c r="AW212" s="46"/>
      <c r="AX212" s="46"/>
      <c r="AY212" s="46"/>
      <c r="AZ212" s="46"/>
      <c r="BA212" s="46"/>
      <c r="BB212" s="46"/>
      <c r="BC212" s="46"/>
      <c r="BD212" s="46"/>
      <c r="BE212" s="46"/>
      <c r="BF212" s="46"/>
      <c r="BG212" s="46"/>
      <c r="BH212" s="46"/>
      <c r="BI212" s="46"/>
      <c r="BJ212" s="46"/>
      <c r="BK212" s="46"/>
      <c r="BL212" s="46"/>
      <c r="BM212" s="46"/>
      <c r="BN212" s="46"/>
      <c r="BO212" s="46"/>
      <c r="BP212" s="46"/>
      <c r="BQ212" s="46"/>
      <c r="BR212" s="46"/>
      <c r="BS212" s="46"/>
      <c r="BT212" s="46"/>
      <c r="BU212" s="46"/>
      <c r="BV212" s="46"/>
      <c r="BW212" s="46"/>
    </row>
    <row r="213" spans="2:75" x14ac:dyDescent="0.2">
      <c r="B213" s="46"/>
      <c r="C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E213" s="46"/>
      <c r="AF213" s="46"/>
      <c r="AG213" s="48"/>
      <c r="AH213" s="48"/>
      <c r="AI213" s="46"/>
      <c r="AJ213" s="46"/>
      <c r="AK213" s="46"/>
      <c r="AL213" s="46"/>
      <c r="AM213" s="46"/>
      <c r="AN213" s="46"/>
      <c r="AO213" s="46"/>
      <c r="AP213" s="46"/>
      <c r="AQ213" s="46"/>
      <c r="AR213" s="46"/>
      <c r="AS213" s="46"/>
      <c r="AT213" s="46"/>
      <c r="AU213" s="46"/>
      <c r="AV213" s="46"/>
      <c r="AW213" s="46"/>
      <c r="AX213" s="46"/>
      <c r="AY213" s="46"/>
      <c r="AZ213" s="46"/>
      <c r="BA213" s="46"/>
      <c r="BB213" s="46"/>
      <c r="BC213" s="46"/>
      <c r="BD213" s="46"/>
      <c r="BE213" s="46"/>
      <c r="BF213" s="46"/>
      <c r="BG213" s="46"/>
      <c r="BH213" s="46"/>
      <c r="BI213" s="46"/>
      <c r="BJ213" s="46"/>
      <c r="BK213" s="46"/>
      <c r="BL213" s="46"/>
      <c r="BM213" s="46"/>
      <c r="BN213" s="46"/>
      <c r="BO213" s="46"/>
      <c r="BP213" s="46"/>
      <c r="BQ213" s="46"/>
      <c r="BR213" s="46"/>
      <c r="BS213" s="46"/>
      <c r="BT213" s="46"/>
      <c r="BU213" s="46"/>
      <c r="BV213" s="46"/>
      <c r="BW213" s="46"/>
    </row>
    <row r="214" spans="2:75" x14ac:dyDescent="0.2">
      <c r="B214" s="46"/>
      <c r="C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E214" s="46"/>
      <c r="AF214" s="46"/>
      <c r="AG214" s="48"/>
      <c r="AH214" s="48"/>
      <c r="AI214" s="46"/>
      <c r="AJ214" s="46"/>
      <c r="AK214" s="46"/>
      <c r="AL214" s="46"/>
      <c r="AM214" s="46"/>
      <c r="AN214" s="46"/>
      <c r="AO214" s="46"/>
      <c r="AP214" s="46"/>
      <c r="AQ214" s="46"/>
      <c r="AR214" s="46"/>
      <c r="AS214" s="46"/>
      <c r="AT214" s="46"/>
      <c r="AU214" s="46"/>
      <c r="AV214" s="46"/>
      <c r="AW214" s="46"/>
      <c r="AX214" s="46"/>
      <c r="AY214" s="46"/>
      <c r="AZ214" s="46"/>
      <c r="BA214" s="46"/>
      <c r="BB214" s="46"/>
      <c r="BC214" s="46"/>
      <c r="BD214" s="46"/>
      <c r="BE214" s="46"/>
      <c r="BF214" s="46"/>
      <c r="BG214" s="46"/>
      <c r="BH214" s="46"/>
      <c r="BI214" s="46"/>
      <c r="BJ214" s="46"/>
      <c r="BK214" s="46"/>
      <c r="BL214" s="46"/>
      <c r="BM214" s="46"/>
      <c r="BN214" s="46"/>
      <c r="BO214" s="46"/>
      <c r="BP214" s="46"/>
      <c r="BQ214" s="46"/>
      <c r="BR214" s="46"/>
      <c r="BS214" s="46"/>
      <c r="BT214" s="46"/>
      <c r="BU214" s="46"/>
      <c r="BV214" s="46"/>
      <c r="BW214" s="46"/>
    </row>
    <row r="215" spans="2:75" x14ac:dyDescent="0.2">
      <c r="B215" s="46"/>
      <c r="C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E215" s="46"/>
      <c r="AF215" s="46"/>
      <c r="AG215" s="48"/>
      <c r="AH215" s="48"/>
      <c r="AI215" s="46"/>
      <c r="AJ215" s="46"/>
      <c r="AK215" s="46"/>
      <c r="AL215" s="46"/>
      <c r="AM215" s="46"/>
      <c r="AN215" s="46"/>
      <c r="AO215" s="46"/>
      <c r="AP215" s="46"/>
      <c r="AQ215" s="46"/>
      <c r="AR215" s="46"/>
      <c r="AS215" s="46"/>
      <c r="AT215" s="46"/>
      <c r="AU215" s="46"/>
      <c r="AV215" s="46"/>
      <c r="AW215" s="46"/>
      <c r="AX215" s="46"/>
      <c r="AY215" s="46"/>
      <c r="AZ215" s="46"/>
      <c r="BA215" s="46"/>
      <c r="BB215" s="46"/>
      <c r="BC215" s="46"/>
      <c r="BD215" s="46"/>
      <c r="BE215" s="46"/>
      <c r="BF215" s="46"/>
      <c r="BG215" s="46"/>
      <c r="BH215" s="46"/>
      <c r="BI215" s="46"/>
      <c r="BJ215" s="46"/>
      <c r="BK215" s="46"/>
      <c r="BL215" s="46"/>
      <c r="BM215" s="46"/>
      <c r="BN215" s="46"/>
      <c r="BO215" s="46"/>
      <c r="BP215" s="46"/>
      <c r="BQ215" s="46"/>
      <c r="BR215" s="46"/>
      <c r="BS215" s="46"/>
      <c r="BT215" s="46"/>
      <c r="BU215" s="46"/>
      <c r="BV215" s="46"/>
      <c r="BW215" s="46"/>
    </row>
    <row r="216" spans="2:75" x14ac:dyDescent="0.2">
      <c r="B216" s="46"/>
      <c r="C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E216" s="46"/>
      <c r="AF216" s="46"/>
      <c r="AG216" s="48"/>
      <c r="AH216" s="48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46"/>
      <c r="BB216" s="46"/>
      <c r="BC216" s="46"/>
      <c r="BD216" s="46"/>
      <c r="BE216" s="46"/>
      <c r="BF216" s="46"/>
      <c r="BG216" s="46"/>
      <c r="BH216" s="46"/>
      <c r="BI216" s="46"/>
      <c r="BJ216" s="46"/>
      <c r="BK216" s="46"/>
      <c r="BL216" s="46"/>
      <c r="BM216" s="46"/>
      <c r="BN216" s="46"/>
      <c r="BO216" s="46"/>
      <c r="BP216" s="46"/>
      <c r="BQ216" s="46"/>
      <c r="BR216" s="46"/>
      <c r="BS216" s="46"/>
      <c r="BT216" s="46"/>
      <c r="BU216" s="46"/>
      <c r="BV216" s="46"/>
      <c r="BW216" s="46"/>
    </row>
    <row r="217" spans="2:75" x14ac:dyDescent="0.2">
      <c r="B217" s="46"/>
      <c r="C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E217" s="46"/>
      <c r="AF217" s="46"/>
      <c r="AG217" s="48"/>
      <c r="AH217" s="48"/>
      <c r="AI217" s="46"/>
      <c r="AJ217" s="46"/>
      <c r="AK217" s="46"/>
      <c r="AL217" s="46"/>
      <c r="AM217" s="46"/>
      <c r="AN217" s="46"/>
      <c r="AO217" s="46"/>
      <c r="AP217" s="46"/>
      <c r="AQ217" s="46"/>
      <c r="AR217" s="46"/>
      <c r="AS217" s="46"/>
      <c r="AT217" s="46"/>
      <c r="AU217" s="46"/>
      <c r="AV217" s="46"/>
      <c r="AW217" s="46"/>
      <c r="AX217" s="46"/>
      <c r="AY217" s="46"/>
      <c r="AZ217" s="46"/>
      <c r="BA217" s="46"/>
      <c r="BB217" s="46"/>
      <c r="BC217" s="46"/>
      <c r="BD217" s="46"/>
      <c r="BE217" s="46"/>
      <c r="BF217" s="46"/>
      <c r="BG217" s="46"/>
      <c r="BH217" s="46"/>
      <c r="BI217" s="46"/>
      <c r="BJ217" s="46"/>
      <c r="BK217" s="46"/>
      <c r="BL217" s="46"/>
      <c r="BM217" s="46"/>
      <c r="BN217" s="46"/>
      <c r="BO217" s="46"/>
      <c r="BP217" s="46"/>
      <c r="BQ217" s="46"/>
      <c r="BR217" s="46"/>
      <c r="BS217" s="46"/>
      <c r="BT217" s="46"/>
      <c r="BU217" s="46"/>
      <c r="BV217" s="46"/>
      <c r="BW217" s="46"/>
    </row>
    <row r="218" spans="2:75" x14ac:dyDescent="0.2">
      <c r="B218" s="46"/>
      <c r="C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E218" s="46"/>
      <c r="AF218" s="46"/>
      <c r="AG218" s="48"/>
      <c r="AH218" s="48"/>
      <c r="AI218" s="46"/>
      <c r="AJ218" s="46"/>
      <c r="AK218" s="46"/>
      <c r="AL218" s="46"/>
      <c r="AM218" s="46"/>
      <c r="AN218" s="46"/>
      <c r="AO218" s="46"/>
      <c r="AP218" s="46"/>
      <c r="AQ218" s="46"/>
      <c r="AR218" s="46"/>
      <c r="AS218" s="46"/>
      <c r="AT218" s="46"/>
      <c r="AU218" s="46"/>
      <c r="AV218" s="46"/>
      <c r="AW218" s="46"/>
      <c r="AX218" s="46"/>
      <c r="AY218" s="46"/>
      <c r="AZ218" s="46"/>
      <c r="BA218" s="46"/>
      <c r="BB218" s="46"/>
      <c r="BC218" s="46"/>
      <c r="BD218" s="46"/>
      <c r="BE218" s="46"/>
      <c r="BF218" s="46"/>
      <c r="BG218" s="46"/>
      <c r="BH218" s="46"/>
      <c r="BI218" s="46"/>
      <c r="BJ218" s="46"/>
      <c r="BK218" s="46"/>
      <c r="BL218" s="46"/>
      <c r="BM218" s="46"/>
      <c r="BN218" s="46"/>
      <c r="BO218" s="46"/>
      <c r="BP218" s="46"/>
      <c r="BQ218" s="46"/>
      <c r="BR218" s="46"/>
      <c r="BS218" s="46"/>
      <c r="BT218" s="46"/>
      <c r="BU218" s="46"/>
      <c r="BV218" s="46"/>
      <c r="BW218" s="46"/>
    </row>
    <row r="219" spans="2:75" x14ac:dyDescent="0.2">
      <c r="B219" s="46"/>
      <c r="C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E219" s="46"/>
      <c r="AF219" s="46"/>
      <c r="AG219" s="48"/>
      <c r="AH219" s="48"/>
      <c r="AI219" s="46"/>
      <c r="AJ219" s="46"/>
      <c r="AK219" s="46"/>
      <c r="AL219" s="46"/>
      <c r="AM219" s="46"/>
      <c r="AN219" s="46"/>
      <c r="AO219" s="46"/>
      <c r="AP219" s="46"/>
      <c r="AQ219" s="46"/>
      <c r="AR219" s="46"/>
      <c r="AS219" s="46"/>
      <c r="AT219" s="46"/>
      <c r="AU219" s="46"/>
      <c r="AV219" s="46"/>
      <c r="AW219" s="46"/>
      <c r="AX219" s="46"/>
      <c r="AY219" s="46"/>
      <c r="AZ219" s="46"/>
      <c r="BA219" s="46"/>
      <c r="BB219" s="46"/>
      <c r="BC219" s="46"/>
      <c r="BD219" s="46"/>
      <c r="BE219" s="46"/>
      <c r="BF219" s="46"/>
      <c r="BG219" s="46"/>
      <c r="BH219" s="46"/>
      <c r="BI219" s="46"/>
      <c r="BJ219" s="46"/>
      <c r="BK219" s="46"/>
      <c r="BL219" s="46"/>
      <c r="BM219" s="46"/>
      <c r="BN219" s="46"/>
      <c r="BO219" s="46"/>
      <c r="BP219" s="46"/>
      <c r="BQ219" s="46"/>
      <c r="BR219" s="46"/>
      <c r="BS219" s="46"/>
      <c r="BT219" s="46"/>
      <c r="BU219" s="46"/>
      <c r="BV219" s="46"/>
      <c r="BW219" s="46"/>
    </row>
    <row r="220" spans="2:75" x14ac:dyDescent="0.2">
      <c r="B220" s="46"/>
      <c r="C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E220" s="46"/>
      <c r="AF220" s="46"/>
      <c r="AG220" s="48"/>
      <c r="AH220" s="48"/>
      <c r="AI220" s="46"/>
      <c r="AJ220" s="46"/>
      <c r="AK220" s="46"/>
      <c r="AL220" s="46"/>
      <c r="AM220" s="46"/>
      <c r="AN220" s="46"/>
      <c r="AO220" s="46"/>
      <c r="AP220" s="46"/>
      <c r="AQ220" s="46"/>
      <c r="AR220" s="46"/>
      <c r="AS220" s="46"/>
      <c r="AT220" s="46"/>
      <c r="AU220" s="46"/>
      <c r="AV220" s="46"/>
      <c r="AW220" s="46"/>
      <c r="AX220" s="46"/>
      <c r="AY220" s="46"/>
      <c r="AZ220" s="46"/>
      <c r="BA220" s="46"/>
      <c r="BB220" s="46"/>
      <c r="BC220" s="46"/>
      <c r="BD220" s="46"/>
      <c r="BE220" s="46"/>
      <c r="BF220" s="46"/>
      <c r="BG220" s="46"/>
      <c r="BH220" s="46"/>
      <c r="BI220" s="46"/>
      <c r="BJ220" s="46"/>
      <c r="BK220" s="46"/>
      <c r="BL220" s="46"/>
      <c r="BM220" s="46"/>
      <c r="BN220" s="46"/>
      <c r="BO220" s="46"/>
      <c r="BP220" s="46"/>
      <c r="BQ220" s="46"/>
      <c r="BR220" s="46"/>
      <c r="BS220" s="46"/>
      <c r="BT220" s="46"/>
      <c r="BU220" s="46"/>
      <c r="BV220" s="46"/>
      <c r="BW220" s="46"/>
    </row>
    <row r="221" spans="2:75" x14ac:dyDescent="0.2">
      <c r="B221" s="46"/>
      <c r="C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E221" s="46"/>
      <c r="AF221" s="46"/>
      <c r="AG221" s="48"/>
      <c r="AH221" s="48"/>
      <c r="AI221" s="46"/>
      <c r="AJ221" s="46"/>
      <c r="AK221" s="46"/>
      <c r="AL221" s="46"/>
      <c r="AM221" s="46"/>
      <c r="AN221" s="46"/>
      <c r="AO221" s="46"/>
      <c r="AP221" s="46"/>
      <c r="AQ221" s="46"/>
      <c r="AR221" s="46"/>
      <c r="AS221" s="46"/>
      <c r="AT221" s="46"/>
      <c r="AU221" s="46"/>
      <c r="AV221" s="46"/>
      <c r="AW221" s="46"/>
      <c r="AX221" s="46"/>
      <c r="AY221" s="46"/>
      <c r="AZ221" s="46"/>
      <c r="BA221" s="46"/>
      <c r="BB221" s="46"/>
      <c r="BC221" s="46"/>
      <c r="BD221" s="46"/>
      <c r="BE221" s="46"/>
      <c r="BF221" s="46"/>
      <c r="BG221" s="46"/>
      <c r="BH221" s="46"/>
      <c r="BI221" s="46"/>
      <c r="BJ221" s="46"/>
      <c r="BK221" s="46"/>
      <c r="BL221" s="46"/>
      <c r="BM221" s="46"/>
      <c r="BN221" s="46"/>
      <c r="BO221" s="46"/>
      <c r="BP221" s="46"/>
      <c r="BQ221" s="46"/>
      <c r="BR221" s="46"/>
      <c r="BS221" s="46"/>
      <c r="BT221" s="46"/>
      <c r="BU221" s="46"/>
      <c r="BV221" s="46"/>
      <c r="BW221" s="46"/>
    </row>
    <row r="222" spans="2:75" x14ac:dyDescent="0.2">
      <c r="B222" s="46"/>
      <c r="C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E222" s="46"/>
      <c r="AF222" s="46"/>
      <c r="AG222" s="48"/>
      <c r="AH222" s="48"/>
      <c r="AI222" s="46"/>
      <c r="AJ222" s="46"/>
      <c r="AK222" s="46"/>
      <c r="AL222" s="46"/>
      <c r="AM222" s="46"/>
      <c r="AN222" s="46"/>
      <c r="AO222" s="46"/>
      <c r="AP222" s="46"/>
      <c r="AQ222" s="46"/>
      <c r="AR222" s="46"/>
      <c r="AS222" s="46"/>
      <c r="AT222" s="46"/>
      <c r="AU222" s="46"/>
      <c r="AV222" s="46"/>
      <c r="AW222" s="46"/>
      <c r="AX222" s="46"/>
      <c r="AY222" s="46"/>
      <c r="AZ222" s="46"/>
      <c r="BA222" s="46"/>
      <c r="BB222" s="46"/>
      <c r="BC222" s="46"/>
      <c r="BD222" s="46"/>
      <c r="BE222" s="46"/>
      <c r="BF222" s="46"/>
      <c r="BG222" s="46"/>
      <c r="BH222" s="46"/>
      <c r="BI222" s="46"/>
      <c r="BJ222" s="46"/>
      <c r="BK222" s="46"/>
      <c r="BL222" s="46"/>
      <c r="BM222" s="46"/>
      <c r="BN222" s="46"/>
      <c r="BO222" s="46"/>
      <c r="BP222" s="46"/>
      <c r="BQ222" s="46"/>
      <c r="BR222" s="46"/>
      <c r="BS222" s="46"/>
      <c r="BT222" s="46"/>
      <c r="BU222" s="46"/>
      <c r="BV222" s="46"/>
      <c r="BW222" s="46"/>
    </row>
    <row r="223" spans="2:75" x14ac:dyDescent="0.2">
      <c r="B223" s="46"/>
      <c r="C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E223" s="46"/>
      <c r="AF223" s="46"/>
      <c r="AG223" s="48"/>
      <c r="AH223" s="48"/>
      <c r="AI223" s="46"/>
      <c r="AJ223" s="46"/>
      <c r="AK223" s="46"/>
      <c r="AL223" s="46"/>
      <c r="AM223" s="46"/>
      <c r="AN223" s="46"/>
      <c r="AO223" s="46"/>
      <c r="AP223" s="46"/>
      <c r="AQ223" s="46"/>
      <c r="AR223" s="46"/>
      <c r="AS223" s="46"/>
      <c r="AT223" s="46"/>
      <c r="AU223" s="46"/>
      <c r="AV223" s="46"/>
      <c r="AW223" s="46"/>
      <c r="AX223" s="46"/>
      <c r="AY223" s="46"/>
      <c r="AZ223" s="46"/>
      <c r="BA223" s="46"/>
      <c r="BB223" s="46"/>
      <c r="BC223" s="46"/>
      <c r="BD223" s="46"/>
      <c r="BE223" s="46"/>
      <c r="BF223" s="46"/>
      <c r="BG223" s="46"/>
      <c r="BH223" s="46"/>
      <c r="BI223" s="46"/>
      <c r="BJ223" s="46"/>
      <c r="BK223" s="46"/>
      <c r="BL223" s="46"/>
      <c r="BM223" s="46"/>
      <c r="BN223" s="46"/>
      <c r="BO223" s="46"/>
      <c r="BP223" s="46"/>
      <c r="BQ223" s="46"/>
      <c r="BR223" s="46"/>
      <c r="BS223" s="46"/>
      <c r="BT223" s="46"/>
      <c r="BU223" s="46"/>
      <c r="BV223" s="46"/>
      <c r="BW223" s="46"/>
    </row>
    <row r="224" spans="2:75" x14ac:dyDescent="0.2">
      <c r="B224" s="46"/>
      <c r="C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E224" s="46"/>
      <c r="AF224" s="46"/>
      <c r="AG224" s="48"/>
      <c r="AH224" s="48"/>
      <c r="AI224" s="46"/>
      <c r="AJ224" s="46"/>
      <c r="AK224" s="46"/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46"/>
      <c r="AW224" s="46"/>
      <c r="AX224" s="46"/>
      <c r="AY224" s="46"/>
      <c r="AZ224" s="46"/>
      <c r="BA224" s="46"/>
      <c r="BB224" s="46"/>
      <c r="BC224" s="46"/>
      <c r="BD224" s="46"/>
      <c r="BE224" s="46"/>
      <c r="BF224" s="46"/>
      <c r="BG224" s="46"/>
      <c r="BH224" s="46"/>
      <c r="BI224" s="46"/>
      <c r="BJ224" s="46"/>
      <c r="BK224" s="46"/>
      <c r="BL224" s="46"/>
      <c r="BM224" s="46"/>
      <c r="BN224" s="46"/>
      <c r="BO224" s="46"/>
      <c r="BP224" s="46"/>
      <c r="BQ224" s="46"/>
      <c r="BR224" s="46"/>
      <c r="BS224" s="46"/>
      <c r="BT224" s="46"/>
      <c r="BU224" s="46"/>
      <c r="BV224" s="46"/>
      <c r="BW224" s="46"/>
    </row>
    <row r="225" spans="2:75" x14ac:dyDescent="0.2">
      <c r="B225" s="46"/>
      <c r="C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E225" s="46"/>
      <c r="AF225" s="46"/>
      <c r="AG225" s="48"/>
      <c r="AH225" s="48"/>
      <c r="AI225" s="46"/>
      <c r="AJ225" s="46"/>
      <c r="AK225" s="46"/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46"/>
      <c r="AW225" s="46"/>
      <c r="AX225" s="46"/>
      <c r="AY225" s="46"/>
      <c r="AZ225" s="46"/>
      <c r="BA225" s="46"/>
      <c r="BB225" s="46"/>
      <c r="BC225" s="46"/>
      <c r="BD225" s="46"/>
      <c r="BE225" s="46"/>
      <c r="BF225" s="46"/>
      <c r="BG225" s="46"/>
      <c r="BH225" s="46"/>
      <c r="BI225" s="46"/>
      <c r="BJ225" s="46"/>
      <c r="BK225" s="46"/>
      <c r="BL225" s="46"/>
      <c r="BM225" s="46"/>
      <c r="BN225" s="46"/>
      <c r="BO225" s="46"/>
      <c r="BP225" s="46"/>
      <c r="BQ225" s="46"/>
      <c r="BR225" s="46"/>
      <c r="BS225" s="46"/>
      <c r="BT225" s="46"/>
      <c r="BU225" s="46"/>
      <c r="BV225" s="46"/>
      <c r="BW225" s="46"/>
    </row>
    <row r="226" spans="2:75" x14ac:dyDescent="0.2">
      <c r="AG226" s="43"/>
      <c r="AH226" s="7"/>
    </row>
    <row r="227" spans="2:75" x14ac:dyDescent="0.2">
      <c r="AG227" s="43"/>
      <c r="AH227" s="7"/>
    </row>
    <row r="228" spans="2:75" x14ac:dyDescent="0.2">
      <c r="AG228" s="43"/>
      <c r="AH228" s="7"/>
    </row>
    <row r="229" spans="2:75" x14ac:dyDescent="0.2">
      <c r="AG229" s="43"/>
      <c r="AH229" s="7"/>
    </row>
    <row r="230" spans="2:75" x14ac:dyDescent="0.2">
      <c r="AG230" s="43"/>
      <c r="AH230" s="7"/>
    </row>
    <row r="231" spans="2:75" x14ac:dyDescent="0.2">
      <c r="AG231" s="43"/>
      <c r="AH231" s="7"/>
    </row>
    <row r="232" spans="2:75" x14ac:dyDescent="0.2">
      <c r="AG232" s="43"/>
      <c r="AH232" s="7"/>
    </row>
    <row r="233" spans="2:75" x14ac:dyDescent="0.2">
      <c r="AG233" s="43"/>
      <c r="AH233" s="7"/>
    </row>
    <row r="234" spans="2:75" x14ac:dyDescent="0.2">
      <c r="AG234" s="43"/>
      <c r="AH234" s="7"/>
    </row>
    <row r="235" spans="2:75" x14ac:dyDescent="0.2">
      <c r="AG235" s="43"/>
      <c r="AH235" s="7"/>
    </row>
    <row r="236" spans="2:75" x14ac:dyDescent="0.2">
      <c r="AG236" s="43"/>
      <c r="AH236" s="7"/>
    </row>
    <row r="237" spans="2:75" x14ac:dyDescent="0.2">
      <c r="AG237" s="43"/>
      <c r="AH237" s="7"/>
    </row>
    <row r="238" spans="2:75" x14ac:dyDescent="0.2">
      <c r="AG238" s="43"/>
      <c r="AH238" s="7"/>
    </row>
    <row r="239" spans="2:75" x14ac:dyDescent="0.2">
      <c r="AG239" s="43"/>
      <c r="AH239" s="7"/>
    </row>
    <row r="240" spans="2:75" x14ac:dyDescent="0.2">
      <c r="AG240" s="43"/>
      <c r="AH240" s="7"/>
    </row>
    <row r="241" spans="33:34" x14ac:dyDescent="0.2">
      <c r="AG241" s="43"/>
      <c r="AH241" s="7"/>
    </row>
    <row r="242" spans="33:34" x14ac:dyDescent="0.2">
      <c r="AG242" s="43"/>
      <c r="AH242" s="7"/>
    </row>
    <row r="243" spans="33:34" x14ac:dyDescent="0.2">
      <c r="AG243" s="43"/>
      <c r="AH243" s="7"/>
    </row>
    <row r="244" spans="33:34" x14ac:dyDescent="0.2">
      <c r="AG244" s="43"/>
      <c r="AH244" s="7"/>
    </row>
    <row r="245" spans="33:34" x14ac:dyDescent="0.2">
      <c r="AG245" s="43"/>
      <c r="AH245" s="7"/>
    </row>
    <row r="246" spans="33:34" x14ac:dyDescent="0.2">
      <c r="AG246" s="43"/>
      <c r="AH246" s="7"/>
    </row>
    <row r="247" spans="33:34" x14ac:dyDescent="0.2">
      <c r="AG247" s="43"/>
      <c r="AH247" s="7"/>
    </row>
    <row r="248" spans="33:34" x14ac:dyDescent="0.2">
      <c r="AG248" s="43"/>
      <c r="AH248" s="7"/>
    </row>
    <row r="249" spans="33:34" x14ac:dyDescent="0.2">
      <c r="AG249" s="43"/>
      <c r="AH249" s="7"/>
    </row>
    <row r="250" spans="33:34" x14ac:dyDescent="0.2">
      <c r="AG250" s="43"/>
      <c r="AH250" s="7"/>
    </row>
    <row r="251" spans="33:34" x14ac:dyDescent="0.2">
      <c r="AG251" s="43"/>
      <c r="AH251" s="7"/>
    </row>
    <row r="252" spans="33:34" x14ac:dyDescent="0.2">
      <c r="AG252" s="43"/>
      <c r="AH252" s="7"/>
    </row>
    <row r="253" spans="33:34" x14ac:dyDescent="0.2">
      <c r="AG253" s="43"/>
      <c r="AH253" s="7"/>
    </row>
    <row r="254" spans="33:34" x14ac:dyDescent="0.2">
      <c r="AG254" s="43"/>
      <c r="AH254" s="7"/>
    </row>
    <row r="255" spans="33:34" x14ac:dyDescent="0.2">
      <c r="AG255" s="43"/>
      <c r="AH255" s="7"/>
    </row>
    <row r="256" spans="33:34" x14ac:dyDescent="0.2">
      <c r="AG256" s="43"/>
      <c r="AH256" s="7"/>
    </row>
    <row r="257" spans="33:34" x14ac:dyDescent="0.2">
      <c r="AG257" s="43"/>
      <c r="AH257" s="7"/>
    </row>
    <row r="258" spans="33:34" x14ac:dyDescent="0.2">
      <c r="AG258" s="43"/>
      <c r="AH258" s="7"/>
    </row>
    <row r="259" spans="33:34" x14ac:dyDescent="0.2">
      <c r="AG259" s="43"/>
      <c r="AH259" s="7"/>
    </row>
    <row r="260" spans="33:34" x14ac:dyDescent="0.2">
      <c r="AG260" s="43"/>
      <c r="AH260" s="7"/>
    </row>
    <row r="261" spans="33:34" x14ac:dyDescent="0.2">
      <c r="AG261" s="43"/>
      <c r="AH261" s="7"/>
    </row>
    <row r="262" spans="33:34" x14ac:dyDescent="0.2">
      <c r="AG262" s="43"/>
      <c r="AH262" s="7"/>
    </row>
    <row r="263" spans="33:34" x14ac:dyDescent="0.2">
      <c r="AG263" s="43"/>
      <c r="AH263" s="7"/>
    </row>
    <row r="264" spans="33:34" x14ac:dyDescent="0.2">
      <c r="AG264" s="43"/>
      <c r="AH264" s="7"/>
    </row>
    <row r="265" spans="33:34" x14ac:dyDescent="0.2">
      <c r="AG265" s="43"/>
      <c r="AH265" s="7"/>
    </row>
    <row r="266" spans="33:34" x14ac:dyDescent="0.2">
      <c r="AG266" s="43"/>
      <c r="AH266" s="7"/>
    </row>
    <row r="267" spans="33:34" x14ac:dyDescent="0.2">
      <c r="AG267" s="43"/>
      <c r="AH267" s="7"/>
    </row>
    <row r="268" spans="33:34" x14ac:dyDescent="0.2">
      <c r="AG268" s="43"/>
      <c r="AH268" s="7"/>
    </row>
    <row r="269" spans="33:34" x14ac:dyDescent="0.2">
      <c r="AG269" s="43"/>
      <c r="AH269" s="7"/>
    </row>
    <row r="270" spans="33:34" x14ac:dyDescent="0.2">
      <c r="AG270" s="43"/>
      <c r="AH270" s="7"/>
    </row>
    <row r="271" spans="33:34" x14ac:dyDescent="0.2">
      <c r="AG271" s="43"/>
      <c r="AH271" s="7"/>
    </row>
    <row r="272" spans="33:34" x14ac:dyDescent="0.2">
      <c r="AG272" s="43"/>
      <c r="AH272" s="7"/>
    </row>
    <row r="273" spans="33:34" x14ac:dyDescent="0.2">
      <c r="AG273" s="43"/>
      <c r="AH273" s="7"/>
    </row>
    <row r="274" spans="33:34" x14ac:dyDescent="0.2">
      <c r="AG274" s="43"/>
      <c r="AH274" s="7"/>
    </row>
    <row r="275" spans="33:34" x14ac:dyDescent="0.2">
      <c r="AG275" s="43"/>
      <c r="AH275" s="7"/>
    </row>
    <row r="276" spans="33:34" x14ac:dyDescent="0.2">
      <c r="AG276" s="43"/>
      <c r="AH276" s="7"/>
    </row>
    <row r="277" spans="33:34" x14ac:dyDescent="0.2">
      <c r="AG277" s="43"/>
      <c r="AH277" s="7"/>
    </row>
    <row r="278" spans="33:34" x14ac:dyDescent="0.2">
      <c r="AG278" s="43"/>
      <c r="AH278" s="7"/>
    </row>
    <row r="279" spans="33:34" x14ac:dyDescent="0.2">
      <c r="AG279" s="43"/>
      <c r="AH279" s="7"/>
    </row>
    <row r="280" spans="33:34" x14ac:dyDescent="0.2">
      <c r="AG280" s="43"/>
      <c r="AH280" s="7"/>
    </row>
    <row r="281" spans="33:34" x14ac:dyDescent="0.2">
      <c r="AG281" s="43"/>
      <c r="AH281" s="7"/>
    </row>
    <row r="282" spans="33:34" x14ac:dyDescent="0.2">
      <c r="AG282" s="43"/>
      <c r="AH282" s="7"/>
    </row>
    <row r="283" spans="33:34" x14ac:dyDescent="0.2">
      <c r="AG283" s="43"/>
      <c r="AH283" s="7"/>
    </row>
    <row r="284" spans="33:34" x14ac:dyDescent="0.2">
      <c r="AG284" s="43"/>
      <c r="AH284" s="7"/>
    </row>
    <row r="285" spans="33:34" x14ac:dyDescent="0.2">
      <c r="AG285" s="43"/>
      <c r="AH285" s="7"/>
    </row>
    <row r="286" spans="33:34" x14ac:dyDescent="0.2">
      <c r="AG286" s="43"/>
      <c r="AH286" s="7"/>
    </row>
    <row r="287" spans="33:34" x14ac:dyDescent="0.2">
      <c r="AG287" s="43"/>
      <c r="AH287" s="7"/>
    </row>
    <row r="288" spans="33:34" x14ac:dyDescent="0.2">
      <c r="AG288" s="43"/>
      <c r="AH288" s="7"/>
    </row>
    <row r="289" spans="33:34" x14ac:dyDescent="0.2">
      <c r="AG289" s="43"/>
      <c r="AH289" s="7"/>
    </row>
    <row r="290" spans="33:34" x14ac:dyDescent="0.2">
      <c r="AG290" s="43"/>
      <c r="AH290" s="7"/>
    </row>
    <row r="291" spans="33:34" x14ac:dyDescent="0.2">
      <c r="AG291" s="43"/>
      <c r="AH291" s="7"/>
    </row>
    <row r="292" spans="33:34" x14ac:dyDescent="0.2">
      <c r="AG292" s="43"/>
      <c r="AH292" s="7"/>
    </row>
    <row r="293" spans="33:34" x14ac:dyDescent="0.2">
      <c r="AG293" s="43"/>
      <c r="AH293" s="7"/>
    </row>
    <row r="294" spans="33:34" x14ac:dyDescent="0.2">
      <c r="AG294" s="43"/>
      <c r="AH294" s="7"/>
    </row>
    <row r="295" spans="33:34" x14ac:dyDescent="0.2">
      <c r="AG295" s="43"/>
      <c r="AH295" s="7"/>
    </row>
    <row r="296" spans="33:34" x14ac:dyDescent="0.2">
      <c r="AG296" s="43"/>
      <c r="AH296" s="7"/>
    </row>
    <row r="297" spans="33:34" x14ac:dyDescent="0.2">
      <c r="AG297" s="43"/>
      <c r="AH297" s="7"/>
    </row>
    <row r="298" spans="33:34" x14ac:dyDescent="0.2">
      <c r="AG298" s="43"/>
      <c r="AH298" s="7"/>
    </row>
    <row r="299" spans="33:34" x14ac:dyDescent="0.2">
      <c r="AG299" s="43"/>
      <c r="AH299" s="7"/>
    </row>
    <row r="300" spans="33:34" x14ac:dyDescent="0.2">
      <c r="AG300" s="43"/>
      <c r="AH300" s="7"/>
    </row>
    <row r="301" spans="33:34" x14ac:dyDescent="0.2">
      <c r="AG301" s="43"/>
      <c r="AH301" s="7"/>
    </row>
    <row r="302" spans="33:34" x14ac:dyDescent="0.2">
      <c r="AG302" s="43"/>
      <c r="AH302" s="7"/>
    </row>
    <row r="303" spans="33:34" x14ac:dyDescent="0.2">
      <c r="AG303" s="43"/>
      <c r="AH303" s="7"/>
    </row>
    <row r="304" spans="33:34" x14ac:dyDescent="0.2">
      <c r="AG304" s="43"/>
      <c r="AH304" s="7"/>
    </row>
    <row r="305" spans="33:34" x14ac:dyDescent="0.2">
      <c r="AG305" s="43"/>
      <c r="AH305" s="7"/>
    </row>
    <row r="306" spans="33:34" x14ac:dyDescent="0.2">
      <c r="AG306" s="43"/>
      <c r="AH306" s="7"/>
    </row>
    <row r="307" spans="33:34" x14ac:dyDescent="0.2">
      <c r="AG307" s="43"/>
      <c r="AH307" s="7"/>
    </row>
    <row r="308" spans="33:34" x14ac:dyDescent="0.2">
      <c r="AG308" s="43"/>
      <c r="AH308" s="7"/>
    </row>
    <row r="309" spans="33:34" x14ac:dyDescent="0.2">
      <c r="AG309" s="43"/>
      <c r="AH309" s="7"/>
    </row>
    <row r="310" spans="33:34" x14ac:dyDescent="0.2">
      <c r="AG310" s="43"/>
      <c r="AH310" s="7"/>
    </row>
    <row r="311" spans="33:34" x14ac:dyDescent="0.2">
      <c r="AG311" s="43"/>
      <c r="AH311" s="7"/>
    </row>
    <row r="312" spans="33:34" x14ac:dyDescent="0.2">
      <c r="AG312" s="43"/>
      <c r="AH312" s="7"/>
    </row>
    <row r="313" spans="33:34" x14ac:dyDescent="0.2">
      <c r="AG313" s="43"/>
      <c r="AH313" s="7"/>
    </row>
    <row r="314" spans="33:34" x14ac:dyDescent="0.2">
      <c r="AG314" s="43"/>
      <c r="AH314" s="7"/>
    </row>
    <row r="315" spans="33:34" x14ac:dyDescent="0.2">
      <c r="AG315" s="43"/>
      <c r="AH315" s="7"/>
    </row>
    <row r="316" spans="33:34" x14ac:dyDescent="0.2">
      <c r="AG316" s="43"/>
      <c r="AH316" s="7"/>
    </row>
    <row r="317" spans="33:34" x14ac:dyDescent="0.2">
      <c r="AG317" s="43"/>
      <c r="AH317" s="7"/>
    </row>
    <row r="318" spans="33:34" x14ac:dyDescent="0.2">
      <c r="AG318" s="43"/>
      <c r="AH318" s="7"/>
    </row>
    <row r="319" spans="33:34" x14ac:dyDescent="0.2">
      <c r="AG319" s="43"/>
      <c r="AH319" s="7"/>
    </row>
    <row r="320" spans="33:34" x14ac:dyDescent="0.2">
      <c r="AG320" s="43"/>
      <c r="AH320" s="7"/>
    </row>
    <row r="321" spans="33:34" x14ac:dyDescent="0.2">
      <c r="AG321" s="43"/>
      <c r="AH321" s="7"/>
    </row>
    <row r="322" spans="33:34" x14ac:dyDescent="0.2">
      <c r="AG322" s="43"/>
      <c r="AH322" s="7"/>
    </row>
    <row r="323" spans="33:34" x14ac:dyDescent="0.2">
      <c r="AG323" s="43"/>
      <c r="AH323" s="7"/>
    </row>
    <row r="324" spans="33:34" x14ac:dyDescent="0.2">
      <c r="AG324" s="43"/>
      <c r="AH324" s="7"/>
    </row>
    <row r="325" spans="33:34" x14ac:dyDescent="0.2">
      <c r="AG325" s="43"/>
      <c r="AH325" s="7"/>
    </row>
    <row r="326" spans="33:34" x14ac:dyDescent="0.2">
      <c r="AG326" s="43"/>
      <c r="AH326" s="7"/>
    </row>
    <row r="327" spans="33:34" x14ac:dyDescent="0.2">
      <c r="AG327" s="43"/>
      <c r="AH327" s="7"/>
    </row>
    <row r="328" spans="33:34" x14ac:dyDescent="0.2">
      <c r="AG328" s="43"/>
      <c r="AH328" s="7"/>
    </row>
    <row r="329" spans="33:34" x14ac:dyDescent="0.2">
      <c r="AG329" s="43"/>
      <c r="AH329" s="7"/>
    </row>
    <row r="330" spans="33:34" x14ac:dyDescent="0.2">
      <c r="AG330" s="43"/>
      <c r="AH330" s="7"/>
    </row>
    <row r="331" spans="33:34" x14ac:dyDescent="0.2">
      <c r="AG331" s="43"/>
      <c r="AH331" s="7"/>
    </row>
    <row r="332" spans="33:34" x14ac:dyDescent="0.2">
      <c r="AG332" s="43"/>
      <c r="AH332" s="7"/>
    </row>
    <row r="333" spans="33:34" x14ac:dyDescent="0.2">
      <c r="AG333" s="43"/>
      <c r="AH333" s="7"/>
    </row>
    <row r="334" spans="33:34" x14ac:dyDescent="0.2">
      <c r="AG334" s="43"/>
      <c r="AH334" s="7"/>
    </row>
    <row r="335" spans="33:34" x14ac:dyDescent="0.2">
      <c r="AG335" s="43"/>
      <c r="AH335" s="7"/>
    </row>
    <row r="336" spans="33:34" x14ac:dyDescent="0.2">
      <c r="AG336" s="43"/>
      <c r="AH336" s="7"/>
    </row>
    <row r="337" spans="33:34" x14ac:dyDescent="0.2">
      <c r="AG337" s="43"/>
      <c r="AH337" s="7"/>
    </row>
    <row r="338" spans="33:34" x14ac:dyDescent="0.2">
      <c r="AG338" s="43"/>
      <c r="AH338" s="7"/>
    </row>
    <row r="339" spans="33:34" x14ac:dyDescent="0.2">
      <c r="AG339" s="43"/>
      <c r="AH339" s="7"/>
    </row>
  </sheetData>
  <sheetProtection selectLockedCells="1"/>
  <mergeCells count="4">
    <mergeCell ref="B1:J1"/>
    <mergeCell ref="K1:S1"/>
    <mergeCell ref="T1:AB1"/>
    <mergeCell ref="AC1:AK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  <colBreaks count="1" manualBreakCount="1">
    <brk id="19" max="1048575" man="1"/>
  </colBreaks>
  <ignoredErrors>
    <ignoredError sqref="O48:P48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4"/>
  </sheetPr>
  <dimension ref="A1:M77"/>
  <sheetViews>
    <sheetView showGridLines="0" showZeros="0" zoomScaleNormal="100" workbookViewId="0">
      <pane ySplit="2" topLeftCell="A49" activePane="bottomLeft" state="frozen"/>
      <selection activeCell="K87" sqref="K87"/>
      <selection pane="bottomLeft" activeCell="F63" sqref="F63"/>
    </sheetView>
  </sheetViews>
  <sheetFormatPr defaultColWidth="8.85546875" defaultRowHeight="12.75" x14ac:dyDescent="0.2"/>
  <cols>
    <col min="1" max="1" width="6.42578125" style="1" customWidth="1"/>
    <col min="2" max="11" width="9.5703125" customWidth="1"/>
  </cols>
  <sheetData>
    <row r="1" spans="1:13" s="6" customFormat="1" ht="20.25" customHeight="1" x14ac:dyDescent="0.2">
      <c r="A1" s="16"/>
      <c r="B1" s="440" t="s">
        <v>4</v>
      </c>
      <c r="C1" s="437"/>
      <c r="D1" s="434" t="s">
        <v>5</v>
      </c>
      <c r="E1" s="435"/>
      <c r="F1" s="434" t="s">
        <v>6</v>
      </c>
      <c r="G1" s="437"/>
      <c r="H1" s="434" t="s">
        <v>12</v>
      </c>
      <c r="I1" s="435"/>
      <c r="J1" s="434" t="s">
        <v>8</v>
      </c>
      <c r="K1" s="436"/>
      <c r="L1" s="84"/>
      <c r="M1" s="84"/>
    </row>
    <row r="2" spans="1:13" s="2" customFormat="1" ht="25.5" customHeight="1" thickBot="1" x14ac:dyDescent="0.25">
      <c r="A2" s="5" t="s">
        <v>9</v>
      </c>
      <c r="B2" s="3" t="s">
        <v>0</v>
      </c>
      <c r="C2" s="4" t="s">
        <v>1</v>
      </c>
      <c r="D2" s="3" t="s">
        <v>0</v>
      </c>
      <c r="E2" s="4" t="s">
        <v>1</v>
      </c>
      <c r="F2" s="3" t="s">
        <v>0</v>
      </c>
      <c r="G2" s="4" t="s">
        <v>1</v>
      </c>
      <c r="H2" s="3" t="s">
        <v>0</v>
      </c>
      <c r="I2" s="4" t="s">
        <v>1</v>
      </c>
      <c r="J2" s="3" t="s">
        <v>0</v>
      </c>
      <c r="K2" s="4" t="s">
        <v>1</v>
      </c>
      <c r="L2" s="85"/>
      <c r="M2" s="85"/>
    </row>
    <row r="3" spans="1:13" ht="17.25" customHeight="1" thickTop="1" x14ac:dyDescent="0.2">
      <c r="A3" s="17">
        <v>1964</v>
      </c>
      <c r="B3" s="51"/>
      <c r="C3" s="59"/>
      <c r="D3" s="51"/>
      <c r="E3" s="59"/>
      <c r="F3" s="51"/>
      <c r="G3" s="59"/>
      <c r="H3" s="60"/>
      <c r="I3" s="59"/>
      <c r="J3" s="51"/>
      <c r="K3" s="59"/>
      <c r="L3" s="67"/>
      <c r="M3" s="67"/>
    </row>
    <row r="4" spans="1:13" x14ac:dyDescent="0.2">
      <c r="A4" s="17">
        <v>1965</v>
      </c>
      <c r="B4" s="51"/>
      <c r="C4" s="52"/>
      <c r="D4" s="51"/>
      <c r="E4" s="53"/>
      <c r="F4" s="51"/>
      <c r="G4" s="53"/>
      <c r="H4" s="51"/>
      <c r="I4" s="53"/>
      <c r="J4" s="51"/>
      <c r="K4" s="54"/>
      <c r="L4" s="67"/>
      <c r="M4" s="67"/>
    </row>
    <row r="5" spans="1:13" x14ac:dyDescent="0.2">
      <c r="A5" s="17">
        <v>1966</v>
      </c>
      <c r="B5" s="51"/>
      <c r="C5" s="52"/>
      <c r="D5" s="51"/>
      <c r="E5" s="53"/>
      <c r="F5" s="51"/>
      <c r="G5" s="53"/>
      <c r="H5" s="51"/>
      <c r="I5" s="53"/>
      <c r="J5" s="51"/>
      <c r="K5" s="54"/>
      <c r="L5" s="67"/>
      <c r="M5" s="67"/>
    </row>
    <row r="6" spans="1:13" x14ac:dyDescent="0.2">
      <c r="A6" s="17">
        <v>1967</v>
      </c>
      <c r="B6" s="51"/>
      <c r="C6" s="52"/>
      <c r="D6" s="51"/>
      <c r="E6" s="53"/>
      <c r="F6" s="51"/>
      <c r="G6" s="53"/>
      <c r="H6" s="51"/>
      <c r="I6" s="53"/>
      <c r="J6" s="51"/>
      <c r="K6" s="54"/>
      <c r="L6" s="67"/>
      <c r="M6" s="67"/>
    </row>
    <row r="7" spans="1:13" x14ac:dyDescent="0.2">
      <c r="A7" s="17">
        <v>1968</v>
      </c>
      <c r="B7" s="51"/>
      <c r="C7" s="52"/>
      <c r="D7" s="51"/>
      <c r="E7" s="53"/>
      <c r="F7" s="51"/>
      <c r="G7" s="53"/>
      <c r="H7" s="51"/>
      <c r="I7" s="53"/>
      <c r="J7" s="51"/>
      <c r="K7" s="54"/>
      <c r="L7" s="67"/>
      <c r="M7" s="67"/>
    </row>
    <row r="8" spans="1:13" x14ac:dyDescent="0.2">
      <c r="A8" s="17">
        <v>1969</v>
      </c>
      <c r="B8" s="51"/>
      <c r="C8" s="52"/>
      <c r="D8" s="51"/>
      <c r="E8" s="53"/>
      <c r="F8" s="51"/>
      <c r="G8" s="53"/>
      <c r="H8" s="51"/>
      <c r="I8" s="53"/>
      <c r="J8" s="51"/>
      <c r="K8" s="54"/>
      <c r="L8" s="67"/>
      <c r="M8" s="67"/>
    </row>
    <row r="9" spans="1:13" x14ac:dyDescent="0.2">
      <c r="A9" s="17">
        <v>1970</v>
      </c>
      <c r="B9" s="51"/>
      <c r="C9" s="52"/>
      <c r="D9" s="51"/>
      <c r="E9" s="53"/>
      <c r="F9" s="51"/>
      <c r="G9" s="53"/>
      <c r="H9" s="51"/>
      <c r="I9" s="53"/>
      <c r="J9" s="51"/>
      <c r="K9" s="54"/>
      <c r="L9" s="67"/>
      <c r="M9" s="67"/>
    </row>
    <row r="10" spans="1:13" x14ac:dyDescent="0.2">
      <c r="A10" s="17">
        <v>1971</v>
      </c>
      <c r="B10" s="51"/>
      <c r="C10" s="52"/>
      <c r="D10" s="51"/>
      <c r="E10" s="53"/>
      <c r="F10" s="51"/>
      <c r="G10" s="53"/>
      <c r="H10" s="51"/>
      <c r="I10" s="53"/>
      <c r="J10" s="51"/>
      <c r="K10" s="54"/>
      <c r="L10" s="67"/>
      <c r="M10" s="67"/>
    </row>
    <row r="11" spans="1:13" x14ac:dyDescent="0.2">
      <c r="A11" s="17">
        <v>1972</v>
      </c>
      <c r="B11" s="51"/>
      <c r="C11" s="52"/>
      <c r="D11" s="51"/>
      <c r="E11" s="53"/>
      <c r="F11" s="51"/>
      <c r="G11" s="53"/>
      <c r="H11" s="51"/>
      <c r="I11" s="53"/>
      <c r="J11" s="51"/>
      <c r="K11" s="54"/>
      <c r="L11" s="67"/>
      <c r="M11" s="67"/>
    </row>
    <row r="12" spans="1:13" x14ac:dyDescent="0.2">
      <c r="A12" s="17">
        <v>1973</v>
      </c>
      <c r="B12" s="51"/>
      <c r="C12" s="52"/>
      <c r="D12" s="51"/>
      <c r="E12" s="53"/>
      <c r="F12" s="51"/>
      <c r="G12" s="53"/>
      <c r="H12" s="51"/>
      <c r="I12" s="53"/>
      <c r="J12" s="51"/>
      <c r="K12" s="54"/>
      <c r="L12" s="67"/>
      <c r="M12" s="67"/>
    </row>
    <row r="13" spans="1:13" x14ac:dyDescent="0.2">
      <c r="A13" s="17">
        <v>1974</v>
      </c>
      <c r="B13" s="51"/>
      <c r="C13" s="52"/>
      <c r="D13" s="51"/>
      <c r="E13" s="53"/>
      <c r="F13" s="51"/>
      <c r="G13" s="53"/>
      <c r="H13" s="51"/>
      <c r="I13" s="53"/>
      <c r="J13" s="51"/>
      <c r="K13" s="54"/>
      <c r="L13" s="67"/>
      <c r="M13" s="67"/>
    </row>
    <row r="14" spans="1:13" x14ac:dyDescent="0.2">
      <c r="A14" s="17">
        <v>1975</v>
      </c>
      <c r="B14" s="51"/>
      <c r="C14" s="52"/>
      <c r="D14" s="51"/>
      <c r="E14" s="53"/>
      <c r="F14" s="51"/>
      <c r="G14" s="53"/>
      <c r="H14" s="51"/>
      <c r="I14" s="53"/>
      <c r="J14" s="51"/>
      <c r="K14" s="54"/>
      <c r="L14" s="67"/>
      <c r="M14" s="67"/>
    </row>
    <row r="15" spans="1:13" x14ac:dyDescent="0.2">
      <c r="A15" s="17">
        <v>1976</v>
      </c>
      <c r="B15" s="51"/>
      <c r="C15" s="52"/>
      <c r="D15" s="51"/>
      <c r="E15" s="53"/>
      <c r="F15" s="51"/>
      <c r="G15" s="53"/>
      <c r="H15" s="51"/>
      <c r="I15" s="53"/>
      <c r="J15" s="51"/>
      <c r="K15" s="54"/>
      <c r="L15" s="67"/>
      <c r="M15" s="67"/>
    </row>
    <row r="16" spans="1:13" x14ac:dyDescent="0.2">
      <c r="A16" s="17">
        <v>1977</v>
      </c>
      <c r="B16" s="51"/>
      <c r="C16" s="52"/>
      <c r="D16" s="51"/>
      <c r="E16" s="53"/>
      <c r="F16" s="51"/>
      <c r="G16" s="53"/>
      <c r="H16" s="51"/>
      <c r="I16" s="53"/>
      <c r="J16" s="51"/>
      <c r="K16" s="54"/>
      <c r="L16" s="67"/>
      <c r="M16" s="67"/>
    </row>
    <row r="17" spans="1:13" x14ac:dyDescent="0.2">
      <c r="A17" s="17">
        <v>1978</v>
      </c>
      <c r="B17" s="51"/>
      <c r="C17" s="52"/>
      <c r="D17" s="51"/>
      <c r="E17" s="53"/>
      <c r="F17" s="51"/>
      <c r="G17" s="53"/>
      <c r="H17" s="51"/>
      <c r="I17" s="53"/>
      <c r="J17" s="51"/>
      <c r="K17" s="54"/>
      <c r="L17" s="67"/>
      <c r="M17" s="67"/>
    </row>
    <row r="18" spans="1:13" x14ac:dyDescent="0.2">
      <c r="A18" s="17">
        <v>1979</v>
      </c>
      <c r="B18" s="51"/>
      <c r="C18" s="52"/>
      <c r="D18" s="51"/>
      <c r="E18" s="53"/>
      <c r="F18" s="51"/>
      <c r="G18" s="53"/>
      <c r="H18" s="51"/>
      <c r="I18" s="53"/>
      <c r="J18" s="51"/>
      <c r="K18" s="54"/>
      <c r="L18" s="67"/>
      <c r="M18" s="67"/>
    </row>
    <row r="19" spans="1:13" x14ac:dyDescent="0.2">
      <c r="A19" s="17">
        <v>1980</v>
      </c>
      <c r="B19" s="51"/>
      <c r="C19" s="52"/>
      <c r="D19" s="51"/>
      <c r="E19" s="53"/>
      <c r="F19" s="51"/>
      <c r="G19" s="53"/>
      <c r="H19" s="51"/>
      <c r="I19" s="53"/>
      <c r="J19" s="51"/>
      <c r="K19" s="54"/>
      <c r="L19" s="67"/>
      <c r="M19" s="67"/>
    </row>
    <row r="20" spans="1:13" x14ac:dyDescent="0.2">
      <c r="A20" s="17">
        <v>1981</v>
      </c>
      <c r="B20" s="51"/>
      <c r="C20" s="52"/>
      <c r="D20" s="51"/>
      <c r="E20" s="53"/>
      <c r="F20" s="51"/>
      <c r="G20" s="53"/>
      <c r="H20" s="51"/>
      <c r="I20" s="53"/>
      <c r="J20" s="51"/>
      <c r="K20" s="54"/>
      <c r="L20" s="67"/>
      <c r="M20" s="67"/>
    </row>
    <row r="21" spans="1:13" x14ac:dyDescent="0.2">
      <c r="A21" s="17">
        <v>1982</v>
      </c>
      <c r="B21" s="51"/>
      <c r="C21" s="52"/>
      <c r="D21" s="51"/>
      <c r="E21" s="53"/>
      <c r="F21" s="51"/>
      <c r="G21" s="53"/>
      <c r="H21" s="51"/>
      <c r="I21" s="53"/>
      <c r="J21" s="51"/>
      <c r="K21" s="54"/>
      <c r="L21" s="67"/>
      <c r="M21" s="67"/>
    </row>
    <row r="22" spans="1:13" x14ac:dyDescent="0.2">
      <c r="A22" s="17">
        <v>1983</v>
      </c>
      <c r="B22" s="51"/>
      <c r="C22" s="52"/>
      <c r="D22" s="51"/>
      <c r="E22" s="53"/>
      <c r="F22" s="51"/>
      <c r="G22" s="53"/>
      <c r="H22" s="51"/>
      <c r="I22" s="53"/>
      <c r="J22" s="51"/>
      <c r="K22" s="54"/>
      <c r="L22" s="67"/>
      <c r="M22" s="67"/>
    </row>
    <row r="23" spans="1:13" x14ac:dyDescent="0.2">
      <c r="A23" s="17">
        <v>1984</v>
      </c>
      <c r="B23" s="51"/>
      <c r="C23" s="52"/>
      <c r="D23" s="51"/>
      <c r="E23" s="53"/>
      <c r="F23" s="51">
        <v>1</v>
      </c>
      <c r="G23" s="53">
        <f>G22+F23</f>
        <v>1</v>
      </c>
      <c r="H23" s="51"/>
      <c r="I23" s="53"/>
      <c r="J23" s="51">
        <f>B23+D23+F23+H23</f>
        <v>1</v>
      </c>
      <c r="K23" s="54">
        <f>C23+E23+G23+I23</f>
        <v>1</v>
      </c>
      <c r="L23" s="67"/>
      <c r="M23" s="67"/>
    </row>
    <row r="24" spans="1:13" x14ac:dyDescent="0.2">
      <c r="A24" s="17">
        <v>1985</v>
      </c>
      <c r="B24" s="51">
        <v>3</v>
      </c>
      <c r="C24" s="52">
        <f>C23+B24</f>
        <v>3</v>
      </c>
      <c r="D24" s="51"/>
      <c r="E24" s="53"/>
      <c r="F24" s="51">
        <v>1</v>
      </c>
      <c r="G24" s="53">
        <f t="shared" ref="G24:G44" si="0">G23+F24</f>
        <v>2</v>
      </c>
      <c r="H24" s="51"/>
      <c r="I24" s="53"/>
      <c r="J24" s="51">
        <f t="shared" ref="J24:J42" si="1">B24+D24+F24+H24</f>
        <v>4</v>
      </c>
      <c r="K24" s="54">
        <f t="shared" ref="K24:K42" si="2">C24+E24+G24+I24</f>
        <v>5</v>
      </c>
      <c r="L24" s="67"/>
      <c r="M24" s="67"/>
    </row>
    <row r="25" spans="1:13" x14ac:dyDescent="0.2">
      <c r="A25" s="17">
        <v>1986</v>
      </c>
      <c r="B25" s="51">
        <v>6</v>
      </c>
      <c r="C25" s="52">
        <f t="shared" ref="C25:C44" si="3">C24+B25</f>
        <v>9</v>
      </c>
      <c r="D25" s="51"/>
      <c r="E25" s="53"/>
      <c r="F25" s="51">
        <v>2</v>
      </c>
      <c r="G25" s="53">
        <f t="shared" si="0"/>
        <v>4</v>
      </c>
      <c r="H25" s="51"/>
      <c r="I25" s="53"/>
      <c r="J25" s="51">
        <f t="shared" si="1"/>
        <v>8</v>
      </c>
      <c r="K25" s="54">
        <f t="shared" si="2"/>
        <v>13</v>
      </c>
      <c r="L25" s="67"/>
      <c r="M25" s="67"/>
    </row>
    <row r="26" spans="1:13" x14ac:dyDescent="0.2">
      <c r="A26" s="17">
        <v>1987</v>
      </c>
      <c r="B26" s="51"/>
      <c r="C26" s="52">
        <f t="shared" si="3"/>
        <v>9</v>
      </c>
      <c r="D26" s="51"/>
      <c r="E26" s="53"/>
      <c r="F26" s="51"/>
      <c r="G26" s="53">
        <f t="shared" si="0"/>
        <v>4</v>
      </c>
      <c r="H26" s="51"/>
      <c r="I26" s="53"/>
      <c r="J26" s="51">
        <f t="shared" si="1"/>
        <v>0</v>
      </c>
      <c r="K26" s="54">
        <f t="shared" si="2"/>
        <v>13</v>
      </c>
      <c r="L26" s="67"/>
      <c r="M26" s="67"/>
    </row>
    <row r="27" spans="1:13" x14ac:dyDescent="0.2">
      <c r="A27" s="17">
        <v>1988</v>
      </c>
      <c r="B27" s="51">
        <v>2</v>
      </c>
      <c r="C27" s="52">
        <f t="shared" si="3"/>
        <v>11</v>
      </c>
      <c r="D27" s="51"/>
      <c r="E27" s="53"/>
      <c r="F27" s="51">
        <v>27</v>
      </c>
      <c r="G27" s="53">
        <f t="shared" si="0"/>
        <v>31</v>
      </c>
      <c r="H27" s="51">
        <v>2</v>
      </c>
      <c r="I27" s="53">
        <f>I26+H27</f>
        <v>2</v>
      </c>
      <c r="J27" s="51">
        <f t="shared" si="1"/>
        <v>31</v>
      </c>
      <c r="K27" s="54">
        <f t="shared" si="2"/>
        <v>44</v>
      </c>
      <c r="L27" s="67"/>
      <c r="M27" s="67"/>
    </row>
    <row r="28" spans="1:13" x14ac:dyDescent="0.2">
      <c r="A28" s="17">
        <v>1989</v>
      </c>
      <c r="B28" s="51"/>
      <c r="C28" s="52">
        <f t="shared" si="3"/>
        <v>11</v>
      </c>
      <c r="D28" s="51"/>
      <c r="E28" s="53"/>
      <c r="F28" s="51">
        <v>31</v>
      </c>
      <c r="G28" s="53">
        <f t="shared" si="0"/>
        <v>62</v>
      </c>
      <c r="H28" s="51"/>
      <c r="I28" s="53">
        <f t="shared" ref="I28:I44" si="4">I27+H28</f>
        <v>2</v>
      </c>
      <c r="J28" s="51">
        <f t="shared" si="1"/>
        <v>31</v>
      </c>
      <c r="K28" s="54">
        <f t="shared" si="2"/>
        <v>75</v>
      </c>
      <c r="L28" s="67"/>
      <c r="M28" s="67"/>
    </row>
    <row r="29" spans="1:13" x14ac:dyDescent="0.2">
      <c r="A29" s="17">
        <v>1990</v>
      </c>
      <c r="B29" s="51"/>
      <c r="C29" s="52">
        <f t="shared" si="3"/>
        <v>11</v>
      </c>
      <c r="D29" s="51"/>
      <c r="E29" s="53"/>
      <c r="F29" s="51">
        <v>26</v>
      </c>
      <c r="G29" s="53">
        <f t="shared" si="0"/>
        <v>88</v>
      </c>
      <c r="H29" s="51">
        <v>1</v>
      </c>
      <c r="I29" s="53">
        <f t="shared" si="4"/>
        <v>3</v>
      </c>
      <c r="J29" s="51">
        <f t="shared" si="1"/>
        <v>27</v>
      </c>
      <c r="K29" s="54">
        <f t="shared" si="2"/>
        <v>102</v>
      </c>
      <c r="L29" s="67"/>
      <c r="M29" s="67"/>
    </row>
    <row r="30" spans="1:13" x14ac:dyDescent="0.2">
      <c r="A30" s="17">
        <v>1991</v>
      </c>
      <c r="B30" s="51"/>
      <c r="C30" s="52">
        <f t="shared" si="3"/>
        <v>11</v>
      </c>
      <c r="D30" s="51"/>
      <c r="E30" s="53"/>
      <c r="F30" s="51">
        <v>21</v>
      </c>
      <c r="G30" s="53">
        <f t="shared" si="0"/>
        <v>109</v>
      </c>
      <c r="H30" s="51">
        <v>9</v>
      </c>
      <c r="I30" s="53">
        <f t="shared" si="4"/>
        <v>12</v>
      </c>
      <c r="J30" s="51">
        <f t="shared" si="1"/>
        <v>30</v>
      </c>
      <c r="K30" s="54">
        <f t="shared" si="2"/>
        <v>132</v>
      </c>
      <c r="L30" s="67"/>
      <c r="M30" s="67"/>
    </row>
    <row r="31" spans="1:13" x14ac:dyDescent="0.2">
      <c r="A31" s="17">
        <v>1992</v>
      </c>
      <c r="B31" s="51"/>
      <c r="C31" s="52">
        <f t="shared" si="3"/>
        <v>11</v>
      </c>
      <c r="D31" s="51"/>
      <c r="E31" s="53"/>
      <c r="F31" s="51">
        <v>20</v>
      </c>
      <c r="G31" s="53">
        <f t="shared" si="0"/>
        <v>129</v>
      </c>
      <c r="H31" s="51">
        <v>8</v>
      </c>
      <c r="I31" s="53">
        <f t="shared" si="4"/>
        <v>20</v>
      </c>
      <c r="J31" s="51">
        <f t="shared" si="1"/>
        <v>28</v>
      </c>
      <c r="K31" s="54">
        <f t="shared" si="2"/>
        <v>160</v>
      </c>
      <c r="L31" s="67"/>
      <c r="M31" s="67"/>
    </row>
    <row r="32" spans="1:13" x14ac:dyDescent="0.2">
      <c r="A32" s="17">
        <v>1993</v>
      </c>
      <c r="B32" s="51"/>
      <c r="C32" s="52">
        <f t="shared" si="3"/>
        <v>11</v>
      </c>
      <c r="D32" s="51"/>
      <c r="E32" s="53"/>
      <c r="F32" s="51">
        <v>26</v>
      </c>
      <c r="G32" s="53">
        <f t="shared" si="0"/>
        <v>155</v>
      </c>
      <c r="H32" s="51">
        <v>8</v>
      </c>
      <c r="I32" s="53">
        <f t="shared" si="4"/>
        <v>28</v>
      </c>
      <c r="J32" s="51">
        <f t="shared" si="1"/>
        <v>34</v>
      </c>
      <c r="K32" s="54">
        <f t="shared" si="2"/>
        <v>194</v>
      </c>
      <c r="L32" s="67"/>
      <c r="M32" s="67"/>
    </row>
    <row r="33" spans="1:13" x14ac:dyDescent="0.2">
      <c r="A33" s="17">
        <v>1994</v>
      </c>
      <c r="B33" s="51"/>
      <c r="C33" s="52">
        <f t="shared" si="3"/>
        <v>11</v>
      </c>
      <c r="D33" s="51">
        <v>1</v>
      </c>
      <c r="E33" s="53">
        <f>E32+D33</f>
        <v>1</v>
      </c>
      <c r="F33" s="51">
        <v>25</v>
      </c>
      <c r="G33" s="53">
        <f t="shared" si="0"/>
        <v>180</v>
      </c>
      <c r="H33" s="51">
        <v>13</v>
      </c>
      <c r="I33" s="53">
        <f t="shared" si="4"/>
        <v>41</v>
      </c>
      <c r="J33" s="51">
        <f t="shared" si="1"/>
        <v>39</v>
      </c>
      <c r="K33" s="54">
        <f t="shared" si="2"/>
        <v>233</v>
      </c>
      <c r="L33" s="67"/>
      <c r="M33" s="67"/>
    </row>
    <row r="34" spans="1:13" x14ac:dyDescent="0.2">
      <c r="A34" s="17">
        <v>1995</v>
      </c>
      <c r="B34" s="51"/>
      <c r="C34" s="52">
        <f t="shared" si="3"/>
        <v>11</v>
      </c>
      <c r="D34" s="51"/>
      <c r="E34" s="53">
        <f t="shared" ref="E34:E44" si="5">E33+D34</f>
        <v>1</v>
      </c>
      <c r="F34" s="51">
        <v>17</v>
      </c>
      <c r="G34" s="53">
        <f t="shared" si="0"/>
        <v>197</v>
      </c>
      <c r="H34" s="51">
        <v>9</v>
      </c>
      <c r="I34" s="53">
        <f t="shared" si="4"/>
        <v>50</v>
      </c>
      <c r="J34" s="51">
        <f t="shared" si="1"/>
        <v>26</v>
      </c>
      <c r="K34" s="54">
        <f t="shared" si="2"/>
        <v>259</v>
      </c>
      <c r="L34" s="67"/>
      <c r="M34" s="67"/>
    </row>
    <row r="35" spans="1:13" x14ac:dyDescent="0.2">
      <c r="A35" s="17">
        <v>1996</v>
      </c>
      <c r="B35" s="51"/>
      <c r="C35" s="52">
        <f t="shared" si="3"/>
        <v>11</v>
      </c>
      <c r="D35" s="51"/>
      <c r="E35" s="53">
        <f t="shared" si="5"/>
        <v>1</v>
      </c>
      <c r="F35" s="51">
        <v>14</v>
      </c>
      <c r="G35" s="53">
        <f t="shared" si="0"/>
        <v>211</v>
      </c>
      <c r="H35" s="51">
        <v>10</v>
      </c>
      <c r="I35" s="53">
        <f t="shared" si="4"/>
        <v>60</v>
      </c>
      <c r="J35" s="51">
        <f t="shared" si="1"/>
        <v>24</v>
      </c>
      <c r="K35" s="54">
        <f t="shared" si="2"/>
        <v>283</v>
      </c>
      <c r="L35" s="67"/>
      <c r="M35" s="67"/>
    </row>
    <row r="36" spans="1:13" x14ac:dyDescent="0.2">
      <c r="A36" s="17">
        <v>1997</v>
      </c>
      <c r="B36" s="51"/>
      <c r="C36" s="52">
        <f t="shared" si="3"/>
        <v>11</v>
      </c>
      <c r="D36" s="51"/>
      <c r="E36" s="53">
        <f t="shared" si="5"/>
        <v>1</v>
      </c>
      <c r="F36" s="51">
        <v>22</v>
      </c>
      <c r="G36" s="53">
        <f t="shared" si="0"/>
        <v>233</v>
      </c>
      <c r="H36" s="51">
        <v>10</v>
      </c>
      <c r="I36" s="53">
        <f t="shared" si="4"/>
        <v>70</v>
      </c>
      <c r="J36" s="51">
        <f t="shared" si="1"/>
        <v>32</v>
      </c>
      <c r="K36" s="54">
        <f t="shared" si="2"/>
        <v>315</v>
      </c>
      <c r="L36" s="67"/>
      <c r="M36" s="67"/>
    </row>
    <row r="37" spans="1:13" x14ac:dyDescent="0.2">
      <c r="A37" s="17">
        <v>1998</v>
      </c>
      <c r="B37" s="51"/>
      <c r="C37" s="52">
        <f t="shared" si="3"/>
        <v>11</v>
      </c>
      <c r="D37" s="51"/>
      <c r="E37" s="53">
        <f t="shared" si="5"/>
        <v>1</v>
      </c>
      <c r="F37" s="51">
        <v>23</v>
      </c>
      <c r="G37" s="53">
        <f t="shared" si="0"/>
        <v>256</v>
      </c>
      <c r="H37" s="51">
        <v>13</v>
      </c>
      <c r="I37" s="53">
        <f t="shared" si="4"/>
        <v>83</v>
      </c>
      <c r="J37" s="51">
        <f t="shared" si="1"/>
        <v>36</v>
      </c>
      <c r="K37" s="54">
        <f t="shared" si="2"/>
        <v>351</v>
      </c>
      <c r="L37" s="67"/>
      <c r="M37" s="67"/>
    </row>
    <row r="38" spans="1:13" x14ac:dyDescent="0.2">
      <c r="A38" s="18">
        <v>1999</v>
      </c>
      <c r="B38" s="55"/>
      <c r="C38" s="56">
        <f t="shared" si="3"/>
        <v>11</v>
      </c>
      <c r="D38" s="55"/>
      <c r="E38" s="57">
        <f t="shared" si="5"/>
        <v>1</v>
      </c>
      <c r="F38" s="55">
        <v>21</v>
      </c>
      <c r="G38" s="57">
        <f t="shared" si="0"/>
        <v>277</v>
      </c>
      <c r="H38" s="55">
        <v>13</v>
      </c>
      <c r="I38" s="57">
        <f t="shared" si="4"/>
        <v>96</v>
      </c>
      <c r="J38" s="55">
        <f t="shared" si="1"/>
        <v>34</v>
      </c>
      <c r="K38" s="58">
        <f t="shared" si="2"/>
        <v>385</v>
      </c>
      <c r="L38" s="67"/>
      <c r="M38" s="67"/>
    </row>
    <row r="39" spans="1:13" s="7" customFormat="1" ht="20.25" customHeight="1" x14ac:dyDescent="0.2">
      <c r="A39" s="17">
        <v>2000</v>
      </c>
      <c r="B39" s="51"/>
      <c r="C39" s="52">
        <f t="shared" si="3"/>
        <v>11</v>
      </c>
      <c r="D39" s="51"/>
      <c r="E39" s="53">
        <f t="shared" si="5"/>
        <v>1</v>
      </c>
      <c r="F39" s="51">
        <v>14</v>
      </c>
      <c r="G39" s="53">
        <f t="shared" si="0"/>
        <v>291</v>
      </c>
      <c r="H39" s="51">
        <v>6</v>
      </c>
      <c r="I39" s="53">
        <f t="shared" si="4"/>
        <v>102</v>
      </c>
      <c r="J39" s="51">
        <f t="shared" si="1"/>
        <v>20</v>
      </c>
      <c r="K39" s="54">
        <f t="shared" si="2"/>
        <v>405</v>
      </c>
      <c r="L39" s="70"/>
      <c r="M39" s="70"/>
    </row>
    <row r="40" spans="1:13" x14ac:dyDescent="0.2">
      <c r="A40" s="17">
        <v>2001</v>
      </c>
      <c r="B40" s="51">
        <v>1</v>
      </c>
      <c r="C40" s="52">
        <f t="shared" si="3"/>
        <v>12</v>
      </c>
      <c r="D40" s="51"/>
      <c r="E40" s="53">
        <f t="shared" si="5"/>
        <v>1</v>
      </c>
      <c r="F40" s="51">
        <v>16</v>
      </c>
      <c r="G40" s="53">
        <f t="shared" si="0"/>
        <v>307</v>
      </c>
      <c r="H40" s="51">
        <v>8</v>
      </c>
      <c r="I40" s="53">
        <f t="shared" si="4"/>
        <v>110</v>
      </c>
      <c r="J40" s="51">
        <f t="shared" si="1"/>
        <v>25</v>
      </c>
      <c r="K40" s="54">
        <f t="shared" si="2"/>
        <v>430</v>
      </c>
      <c r="L40" s="67"/>
      <c r="M40" s="67"/>
    </row>
    <row r="41" spans="1:13" x14ac:dyDescent="0.2">
      <c r="A41" s="17">
        <v>2002</v>
      </c>
      <c r="B41" s="51">
        <v>1</v>
      </c>
      <c r="C41" s="52">
        <f t="shared" si="3"/>
        <v>13</v>
      </c>
      <c r="D41" s="51"/>
      <c r="E41" s="53">
        <f t="shared" si="5"/>
        <v>1</v>
      </c>
      <c r="F41" s="51">
        <v>8</v>
      </c>
      <c r="G41" s="53">
        <f t="shared" si="0"/>
        <v>315</v>
      </c>
      <c r="H41" s="51">
        <v>10</v>
      </c>
      <c r="I41" s="53">
        <f t="shared" si="4"/>
        <v>120</v>
      </c>
      <c r="J41" s="51">
        <f t="shared" si="1"/>
        <v>19</v>
      </c>
      <c r="K41" s="54">
        <f t="shared" si="2"/>
        <v>449</v>
      </c>
      <c r="L41" s="67"/>
      <c r="M41" s="67"/>
    </row>
    <row r="42" spans="1:13" x14ac:dyDescent="0.2">
      <c r="A42" s="17">
        <v>2003</v>
      </c>
      <c r="B42" s="51">
        <v>1</v>
      </c>
      <c r="C42" s="52">
        <f t="shared" si="3"/>
        <v>14</v>
      </c>
      <c r="D42" s="51"/>
      <c r="E42" s="53">
        <f t="shared" si="5"/>
        <v>1</v>
      </c>
      <c r="F42" s="51">
        <v>18</v>
      </c>
      <c r="G42" s="53">
        <f t="shared" si="0"/>
        <v>333</v>
      </c>
      <c r="H42" s="51">
        <v>17</v>
      </c>
      <c r="I42" s="53">
        <f t="shared" si="4"/>
        <v>137</v>
      </c>
      <c r="J42" s="51">
        <f t="shared" si="1"/>
        <v>36</v>
      </c>
      <c r="K42" s="54">
        <f t="shared" si="2"/>
        <v>485</v>
      </c>
      <c r="L42" s="67"/>
      <c r="M42" s="67"/>
    </row>
    <row r="43" spans="1:13" x14ac:dyDescent="0.2">
      <c r="A43" s="17">
        <v>2004</v>
      </c>
      <c r="B43" s="51">
        <v>6</v>
      </c>
      <c r="C43" s="52">
        <f t="shared" si="3"/>
        <v>20</v>
      </c>
      <c r="D43" s="51"/>
      <c r="E43" s="53">
        <f t="shared" si="5"/>
        <v>1</v>
      </c>
      <c r="F43" s="51">
        <v>17</v>
      </c>
      <c r="G43" s="53">
        <f t="shared" si="0"/>
        <v>350</v>
      </c>
      <c r="H43" s="51">
        <v>8</v>
      </c>
      <c r="I43" s="53">
        <f t="shared" si="4"/>
        <v>145</v>
      </c>
      <c r="J43" s="51">
        <f t="shared" ref="J43:K45" si="6">B43+D43+F43+H43</f>
        <v>31</v>
      </c>
      <c r="K43" s="54">
        <f t="shared" si="6"/>
        <v>516</v>
      </c>
      <c r="L43" s="67"/>
      <c r="M43" s="67"/>
    </row>
    <row r="44" spans="1:13" s="67" customFormat="1" x14ac:dyDescent="0.2">
      <c r="A44" s="17">
        <v>2005</v>
      </c>
      <c r="B44" s="51">
        <f>0+1+0+2</f>
        <v>3</v>
      </c>
      <c r="C44" s="52">
        <f t="shared" si="3"/>
        <v>23</v>
      </c>
      <c r="D44" s="51">
        <f>0+0+0</f>
        <v>0</v>
      </c>
      <c r="E44" s="53">
        <f t="shared" si="5"/>
        <v>1</v>
      </c>
      <c r="F44" s="63">
        <f>2+5+2+5</f>
        <v>14</v>
      </c>
      <c r="G44" s="53">
        <f t="shared" si="0"/>
        <v>364</v>
      </c>
      <c r="H44" s="140">
        <f>5+3+2+3</f>
        <v>13</v>
      </c>
      <c r="I44" s="131">
        <f t="shared" si="4"/>
        <v>158</v>
      </c>
      <c r="J44" s="51">
        <f t="shared" si="6"/>
        <v>30</v>
      </c>
      <c r="K44" s="54">
        <f t="shared" si="6"/>
        <v>546</v>
      </c>
    </row>
    <row r="45" spans="1:13" s="67" customFormat="1" x14ac:dyDescent="0.2">
      <c r="A45" s="17">
        <v>2006</v>
      </c>
      <c r="B45" s="51">
        <f>2+1+1+3</f>
        <v>7</v>
      </c>
      <c r="C45" s="52">
        <f t="shared" ref="C45:C50" si="7">C44+B45</f>
        <v>30</v>
      </c>
      <c r="D45" s="51">
        <f>0+0</f>
        <v>0</v>
      </c>
      <c r="E45" s="53">
        <f t="shared" ref="E45:E50" si="8">E44+D45</f>
        <v>1</v>
      </c>
      <c r="F45" s="63">
        <f>5+5+3+7</f>
        <v>20</v>
      </c>
      <c r="G45" s="53">
        <f t="shared" ref="G45:G50" si="9">G44+F45</f>
        <v>384</v>
      </c>
      <c r="H45" s="140">
        <f>2+4+3+4</f>
        <v>13</v>
      </c>
      <c r="I45" s="131">
        <f t="shared" ref="I45:I50" si="10">I44+H45</f>
        <v>171</v>
      </c>
      <c r="J45" s="51">
        <f t="shared" si="6"/>
        <v>40</v>
      </c>
      <c r="K45" s="54">
        <f t="shared" si="6"/>
        <v>586</v>
      </c>
    </row>
    <row r="46" spans="1:13" s="67" customFormat="1" x14ac:dyDescent="0.2">
      <c r="A46" s="17">
        <v>2007</v>
      </c>
      <c r="B46" s="51">
        <f>2+2+1+1</f>
        <v>6</v>
      </c>
      <c r="C46" s="52">
        <f t="shared" si="7"/>
        <v>36</v>
      </c>
      <c r="D46" s="51">
        <f>0+0+0</f>
        <v>0</v>
      </c>
      <c r="E46" s="53">
        <f t="shared" si="8"/>
        <v>1</v>
      </c>
      <c r="F46" s="63">
        <f>4+6+8+7</f>
        <v>25</v>
      </c>
      <c r="G46" s="53">
        <f t="shared" si="9"/>
        <v>409</v>
      </c>
      <c r="H46" s="140">
        <f>5+5+1+4</f>
        <v>15</v>
      </c>
      <c r="I46" s="131">
        <f t="shared" si="10"/>
        <v>186</v>
      </c>
      <c r="J46" s="51">
        <f t="shared" ref="J46:K48" si="11">B46+D46+F46+H46</f>
        <v>46</v>
      </c>
      <c r="K46" s="54">
        <f t="shared" si="11"/>
        <v>632</v>
      </c>
    </row>
    <row r="47" spans="1:13" s="67" customFormat="1" x14ac:dyDescent="0.2">
      <c r="A47" s="17">
        <v>2008</v>
      </c>
      <c r="B47" s="51">
        <f>3+1+2+3</f>
        <v>9</v>
      </c>
      <c r="C47" s="52">
        <f t="shared" si="7"/>
        <v>45</v>
      </c>
      <c r="D47" s="51">
        <f>0+0</f>
        <v>0</v>
      </c>
      <c r="E47" s="53">
        <f t="shared" si="8"/>
        <v>1</v>
      </c>
      <c r="F47" s="63">
        <f>5+3+8+7</f>
        <v>23</v>
      </c>
      <c r="G47" s="53">
        <f t="shared" si="9"/>
        <v>432</v>
      </c>
      <c r="H47" s="140">
        <f>1+3+3+5</f>
        <v>12</v>
      </c>
      <c r="I47" s="131">
        <f t="shared" si="10"/>
        <v>198</v>
      </c>
      <c r="J47" s="51">
        <f t="shared" si="11"/>
        <v>44</v>
      </c>
      <c r="K47" s="54">
        <f t="shared" si="11"/>
        <v>676</v>
      </c>
    </row>
    <row r="48" spans="1:13" s="67" customFormat="1" x14ac:dyDescent="0.2">
      <c r="A48" s="17">
        <v>2009</v>
      </c>
      <c r="B48" s="51">
        <f>4+2+4+4</f>
        <v>14</v>
      </c>
      <c r="C48" s="52">
        <f t="shared" si="7"/>
        <v>59</v>
      </c>
      <c r="D48" s="51">
        <f>0+0</f>
        <v>0</v>
      </c>
      <c r="E48" s="53">
        <f t="shared" si="8"/>
        <v>1</v>
      </c>
      <c r="F48" s="139">
        <f>7+10+7+8</f>
        <v>32</v>
      </c>
      <c r="G48" s="53">
        <f t="shared" si="9"/>
        <v>464</v>
      </c>
      <c r="H48" s="140">
        <f>1+1+3+4</f>
        <v>9</v>
      </c>
      <c r="I48" s="131">
        <f t="shared" si="10"/>
        <v>207</v>
      </c>
      <c r="J48" s="51">
        <f t="shared" si="11"/>
        <v>55</v>
      </c>
      <c r="K48" s="54">
        <f t="shared" si="11"/>
        <v>731</v>
      </c>
    </row>
    <row r="49" spans="1:11" s="67" customFormat="1" x14ac:dyDescent="0.2">
      <c r="A49" s="17">
        <v>2010</v>
      </c>
      <c r="B49" s="51">
        <f>3+2+6+3</f>
        <v>14</v>
      </c>
      <c r="C49" s="52">
        <f t="shared" si="7"/>
        <v>73</v>
      </c>
      <c r="D49" s="51">
        <f>0+0+0</f>
        <v>0</v>
      </c>
      <c r="E49" s="53">
        <f t="shared" si="8"/>
        <v>1</v>
      </c>
      <c r="F49" s="139">
        <f>5+10+9+7</f>
        <v>31</v>
      </c>
      <c r="G49" s="53">
        <f t="shared" si="9"/>
        <v>495</v>
      </c>
      <c r="H49" s="152">
        <f>2+3+4+2</f>
        <v>11</v>
      </c>
      <c r="I49" s="153">
        <f t="shared" si="10"/>
        <v>218</v>
      </c>
      <c r="J49" s="51">
        <f t="shared" ref="J49:K51" si="12">B49+D49+F49+H49</f>
        <v>56</v>
      </c>
      <c r="K49" s="54">
        <f t="shared" si="12"/>
        <v>787</v>
      </c>
    </row>
    <row r="50" spans="1:11" s="165" customFormat="1" x14ac:dyDescent="0.2">
      <c r="A50" s="157">
        <v>2011</v>
      </c>
      <c r="B50" s="161"/>
      <c r="C50" s="127">
        <f t="shared" si="7"/>
        <v>73</v>
      </c>
      <c r="D50" s="161">
        <f>0+0+0</f>
        <v>0</v>
      </c>
      <c r="E50" s="126">
        <f t="shared" si="8"/>
        <v>1</v>
      </c>
      <c r="F50" s="160">
        <f>7+6+2+5</f>
        <v>20</v>
      </c>
      <c r="G50" s="126">
        <f t="shared" si="9"/>
        <v>515</v>
      </c>
      <c r="H50" s="167">
        <f>9+9+7+6</f>
        <v>31</v>
      </c>
      <c r="I50" s="155">
        <f t="shared" si="10"/>
        <v>249</v>
      </c>
      <c r="J50" s="161">
        <f t="shared" si="12"/>
        <v>51</v>
      </c>
      <c r="K50" s="133">
        <f t="shared" si="12"/>
        <v>838</v>
      </c>
    </row>
    <row r="51" spans="1:11" s="165" customFormat="1" x14ac:dyDescent="0.2">
      <c r="A51" s="157">
        <v>2012</v>
      </c>
      <c r="B51" s="161"/>
      <c r="C51" s="127">
        <f t="shared" ref="C51:C56" si="13">C50+B51</f>
        <v>73</v>
      </c>
      <c r="D51" s="161">
        <f>0+0+0</f>
        <v>0</v>
      </c>
      <c r="E51" s="126">
        <f t="shared" ref="E51:E56" si="14">E50+D51</f>
        <v>1</v>
      </c>
      <c r="F51" s="160">
        <f>6+4+6+11</f>
        <v>27</v>
      </c>
      <c r="G51" s="126">
        <f t="shared" ref="G51:G56" si="15">G50+F51</f>
        <v>542</v>
      </c>
      <c r="H51" s="167">
        <f>5+5+8+2</f>
        <v>20</v>
      </c>
      <c r="I51" s="155">
        <f t="shared" ref="I51:I56" si="16">I50+H51</f>
        <v>269</v>
      </c>
      <c r="J51" s="161">
        <f t="shared" si="12"/>
        <v>47</v>
      </c>
      <c r="K51" s="133">
        <f t="shared" si="12"/>
        <v>885</v>
      </c>
    </row>
    <row r="52" spans="1:11" s="165" customFormat="1" x14ac:dyDescent="0.2">
      <c r="A52" s="157">
        <v>2013</v>
      </c>
      <c r="B52" s="161"/>
      <c r="C52" s="127">
        <f t="shared" si="13"/>
        <v>73</v>
      </c>
      <c r="D52" s="161">
        <f>0+0+0</f>
        <v>0</v>
      </c>
      <c r="E52" s="126">
        <f t="shared" si="14"/>
        <v>1</v>
      </c>
      <c r="F52" s="160">
        <f>7+9+7+8</f>
        <v>31</v>
      </c>
      <c r="G52" s="126">
        <f t="shared" si="15"/>
        <v>573</v>
      </c>
      <c r="H52" s="167">
        <f>4+4+6+10</f>
        <v>24</v>
      </c>
      <c r="I52" s="155">
        <f t="shared" si="16"/>
        <v>293</v>
      </c>
      <c r="J52" s="161">
        <f t="shared" ref="J52:K54" si="17">B52+D52+F52+H52</f>
        <v>55</v>
      </c>
      <c r="K52" s="133">
        <f t="shared" si="17"/>
        <v>940</v>
      </c>
    </row>
    <row r="53" spans="1:11" s="165" customFormat="1" x14ac:dyDescent="0.2">
      <c r="A53" s="157">
        <v>2014</v>
      </c>
      <c r="B53" s="161"/>
      <c r="C53" s="127">
        <f t="shared" si="13"/>
        <v>73</v>
      </c>
      <c r="D53" s="161">
        <f>0+0+0</f>
        <v>0</v>
      </c>
      <c r="E53" s="126">
        <f t="shared" si="14"/>
        <v>1</v>
      </c>
      <c r="F53" s="160">
        <f>7+6+15+9</f>
        <v>37</v>
      </c>
      <c r="G53" s="126">
        <f t="shared" si="15"/>
        <v>610</v>
      </c>
      <c r="H53" s="167">
        <f>9+10+8+3</f>
        <v>30</v>
      </c>
      <c r="I53" s="155">
        <f t="shared" si="16"/>
        <v>323</v>
      </c>
      <c r="J53" s="161">
        <f t="shared" si="17"/>
        <v>67</v>
      </c>
      <c r="K53" s="133">
        <f t="shared" si="17"/>
        <v>1007</v>
      </c>
    </row>
    <row r="54" spans="1:11" s="165" customFormat="1" x14ac:dyDescent="0.2">
      <c r="A54" s="157">
        <v>2015</v>
      </c>
      <c r="B54" s="161"/>
      <c r="C54" s="127">
        <f t="shared" si="13"/>
        <v>73</v>
      </c>
      <c r="D54" s="161"/>
      <c r="E54" s="126">
        <f t="shared" si="14"/>
        <v>1</v>
      </c>
      <c r="F54" s="160">
        <f>10+11+8+6</f>
        <v>35</v>
      </c>
      <c r="G54" s="126">
        <f t="shared" si="15"/>
        <v>645</v>
      </c>
      <c r="H54" s="167">
        <f>8+8+6+6</f>
        <v>28</v>
      </c>
      <c r="I54" s="155">
        <f t="shared" si="16"/>
        <v>351</v>
      </c>
      <c r="J54" s="161">
        <f t="shared" si="17"/>
        <v>63</v>
      </c>
      <c r="K54" s="133">
        <f t="shared" si="17"/>
        <v>1070</v>
      </c>
    </row>
    <row r="55" spans="1:11" s="165" customFormat="1" x14ac:dyDescent="0.2">
      <c r="A55" s="17">
        <v>2016</v>
      </c>
      <c r="B55" s="161"/>
      <c r="C55" s="127">
        <f t="shared" si="13"/>
        <v>73</v>
      </c>
      <c r="D55" s="161"/>
      <c r="E55" s="126">
        <f t="shared" si="14"/>
        <v>1</v>
      </c>
      <c r="F55" s="160">
        <f>6+10+7+8</f>
        <v>31</v>
      </c>
      <c r="G55" s="126">
        <f t="shared" si="15"/>
        <v>676</v>
      </c>
      <c r="H55" s="167">
        <f>11+10+7+5</f>
        <v>33</v>
      </c>
      <c r="I55" s="155">
        <f t="shared" si="16"/>
        <v>384</v>
      </c>
      <c r="J55" s="161">
        <f t="shared" ref="J55:K57" si="18">B55+D55+F55+H55</f>
        <v>64</v>
      </c>
      <c r="K55" s="133">
        <f t="shared" si="18"/>
        <v>1134</v>
      </c>
    </row>
    <row r="56" spans="1:11" s="170" customFormat="1" x14ac:dyDescent="0.2">
      <c r="A56" s="17">
        <v>2017</v>
      </c>
      <c r="B56" s="161"/>
      <c r="C56" s="127">
        <f t="shared" si="13"/>
        <v>73</v>
      </c>
      <c r="D56" s="161"/>
      <c r="E56" s="126">
        <f t="shared" si="14"/>
        <v>1</v>
      </c>
      <c r="F56" s="160">
        <f>10+7+9+8</f>
        <v>34</v>
      </c>
      <c r="G56" s="126">
        <f t="shared" si="15"/>
        <v>710</v>
      </c>
      <c r="H56" s="167">
        <f>11+8+4+5</f>
        <v>28</v>
      </c>
      <c r="I56" s="155">
        <f t="shared" si="16"/>
        <v>412</v>
      </c>
      <c r="J56" s="161">
        <f t="shared" si="18"/>
        <v>62</v>
      </c>
      <c r="K56" s="133">
        <f t="shared" si="18"/>
        <v>1196</v>
      </c>
    </row>
    <row r="57" spans="1:11" s="170" customFormat="1" x14ac:dyDescent="0.2">
      <c r="A57" s="17">
        <v>2018</v>
      </c>
      <c r="B57" s="161"/>
      <c r="C57" s="127">
        <f t="shared" ref="C57:C63" si="19">C56+B57</f>
        <v>73</v>
      </c>
      <c r="D57" s="161"/>
      <c r="E57" s="126">
        <f t="shared" ref="E57:E63" si="20">E56+D57</f>
        <v>1</v>
      </c>
      <c r="F57" s="160">
        <f>6+10+10+5</f>
        <v>31</v>
      </c>
      <c r="G57" s="126">
        <f t="shared" ref="G57:G63" si="21">G56+F57</f>
        <v>741</v>
      </c>
      <c r="H57" s="167">
        <f>8+7+11+9</f>
        <v>35</v>
      </c>
      <c r="I57" s="155">
        <f t="shared" ref="I57:I63" si="22">I56+H57</f>
        <v>447</v>
      </c>
      <c r="J57" s="161">
        <f t="shared" si="18"/>
        <v>66</v>
      </c>
      <c r="K57" s="133">
        <f t="shared" si="18"/>
        <v>1262</v>
      </c>
    </row>
    <row r="58" spans="1:11" s="341" customFormat="1" x14ac:dyDescent="0.2">
      <c r="A58" s="323">
        <v>2019</v>
      </c>
      <c r="B58" s="334"/>
      <c r="C58" s="335">
        <f t="shared" si="19"/>
        <v>73</v>
      </c>
      <c r="D58" s="334"/>
      <c r="E58" s="336">
        <f t="shared" si="20"/>
        <v>1</v>
      </c>
      <c r="F58" s="337">
        <f>11+5+8+9</f>
        <v>33</v>
      </c>
      <c r="G58" s="336">
        <f t="shared" si="21"/>
        <v>774</v>
      </c>
      <c r="H58" s="338">
        <f>8+8+3+8</f>
        <v>27</v>
      </c>
      <c r="I58" s="339">
        <f t="shared" si="22"/>
        <v>474</v>
      </c>
      <c r="J58" s="334">
        <f t="shared" ref="J58:K60" si="23">B58+D58+F58+H58</f>
        <v>60</v>
      </c>
      <c r="K58" s="340">
        <f t="shared" si="23"/>
        <v>1322</v>
      </c>
    </row>
    <row r="59" spans="1:11" s="322" customFormat="1" x14ac:dyDescent="0.2">
      <c r="A59" s="323">
        <v>2020</v>
      </c>
      <c r="B59" s="315"/>
      <c r="C59" s="335">
        <f t="shared" si="19"/>
        <v>73</v>
      </c>
      <c r="D59" s="334"/>
      <c r="E59" s="336">
        <f t="shared" si="20"/>
        <v>1</v>
      </c>
      <c r="F59" s="337">
        <f>6+5+9+6</f>
        <v>26</v>
      </c>
      <c r="G59" s="336">
        <f t="shared" si="21"/>
        <v>800</v>
      </c>
      <c r="H59" s="338">
        <f>7+5+11+5</f>
        <v>28</v>
      </c>
      <c r="I59" s="339">
        <f t="shared" si="22"/>
        <v>502</v>
      </c>
      <c r="J59" s="334">
        <f t="shared" si="23"/>
        <v>54</v>
      </c>
      <c r="K59" s="340">
        <f t="shared" si="23"/>
        <v>1376</v>
      </c>
    </row>
    <row r="60" spans="1:11" s="322" customFormat="1" x14ac:dyDescent="0.2">
      <c r="A60" s="323">
        <v>2021</v>
      </c>
      <c r="B60" s="315"/>
      <c r="C60" s="335">
        <f t="shared" si="19"/>
        <v>73</v>
      </c>
      <c r="D60" s="334"/>
      <c r="E60" s="336">
        <f t="shared" si="20"/>
        <v>1</v>
      </c>
      <c r="F60" s="337">
        <f>5+9+6+10</f>
        <v>30</v>
      </c>
      <c r="G60" s="336">
        <f t="shared" si="21"/>
        <v>830</v>
      </c>
      <c r="H60" s="338">
        <f>11+5+11+9</f>
        <v>36</v>
      </c>
      <c r="I60" s="339">
        <f t="shared" si="22"/>
        <v>538</v>
      </c>
      <c r="J60" s="334">
        <f t="shared" si="23"/>
        <v>66</v>
      </c>
      <c r="K60" s="340">
        <f t="shared" si="23"/>
        <v>1442</v>
      </c>
    </row>
    <row r="61" spans="1:11" s="322" customFormat="1" x14ac:dyDescent="0.2">
      <c r="A61" s="323">
        <v>2022</v>
      </c>
      <c r="B61" s="315"/>
      <c r="C61" s="316">
        <f t="shared" si="19"/>
        <v>73</v>
      </c>
      <c r="D61" s="315"/>
      <c r="E61" s="317">
        <f t="shared" si="20"/>
        <v>1</v>
      </c>
      <c r="F61" s="318">
        <f>3+8+5+7</f>
        <v>23</v>
      </c>
      <c r="G61" s="317">
        <f t="shared" si="21"/>
        <v>853</v>
      </c>
      <c r="H61" s="319">
        <f>6+8+9+8</f>
        <v>31</v>
      </c>
      <c r="I61" s="320">
        <f t="shared" si="22"/>
        <v>569</v>
      </c>
      <c r="J61" s="315">
        <f t="shared" ref="J61:K63" si="24">B61+D61+F61+H61</f>
        <v>54</v>
      </c>
      <c r="K61" s="321">
        <f t="shared" si="24"/>
        <v>1496</v>
      </c>
    </row>
    <row r="62" spans="1:11" s="322" customFormat="1" x14ac:dyDescent="0.2">
      <c r="A62" s="323">
        <v>2023</v>
      </c>
      <c r="B62" s="315">
        <f>0</f>
        <v>0</v>
      </c>
      <c r="C62" s="316">
        <f t="shared" si="19"/>
        <v>73</v>
      </c>
      <c r="D62" s="315">
        <f>0</f>
        <v>0</v>
      </c>
      <c r="E62" s="317">
        <f t="shared" si="20"/>
        <v>1</v>
      </c>
      <c r="F62" s="318">
        <f>8+7+7+9</f>
        <v>31</v>
      </c>
      <c r="G62" s="317">
        <f t="shared" si="21"/>
        <v>884</v>
      </c>
      <c r="H62" s="319">
        <f>10+3+16+8</f>
        <v>37</v>
      </c>
      <c r="I62" s="320">
        <f t="shared" si="22"/>
        <v>606</v>
      </c>
      <c r="J62" s="315">
        <f t="shared" si="24"/>
        <v>68</v>
      </c>
      <c r="K62" s="321">
        <f t="shared" si="24"/>
        <v>1564</v>
      </c>
    </row>
    <row r="63" spans="1:11" s="143" customFormat="1" x14ac:dyDescent="0.2">
      <c r="A63" s="323">
        <v>2024</v>
      </c>
      <c r="B63" s="358">
        <f>0</f>
        <v>0</v>
      </c>
      <c r="C63" s="316">
        <f t="shared" si="19"/>
        <v>73</v>
      </c>
      <c r="D63" s="358">
        <f>0</f>
        <v>0</v>
      </c>
      <c r="E63" s="317">
        <f t="shared" si="20"/>
        <v>1</v>
      </c>
      <c r="F63" s="360">
        <f>6+7+3+7</f>
        <v>23</v>
      </c>
      <c r="G63" s="317">
        <f t="shared" si="21"/>
        <v>907</v>
      </c>
      <c r="H63" s="358">
        <f>6+9+5+10</f>
        <v>30</v>
      </c>
      <c r="I63" s="320">
        <f t="shared" si="22"/>
        <v>636</v>
      </c>
      <c r="J63" s="315">
        <f t="shared" si="24"/>
        <v>53</v>
      </c>
      <c r="K63" s="321">
        <f t="shared" si="24"/>
        <v>1617</v>
      </c>
    </row>
    <row r="64" spans="1:11" s="143" customFormat="1" x14ac:dyDescent="0.2">
      <c r="A64" s="323">
        <v>2025</v>
      </c>
      <c r="B64" s="358"/>
      <c r="C64" s="359"/>
      <c r="D64" s="358"/>
      <c r="E64" s="359"/>
      <c r="F64" s="360"/>
      <c r="G64" s="359"/>
      <c r="H64" s="358"/>
      <c r="I64" s="359"/>
      <c r="J64" s="360"/>
      <c r="K64" s="359"/>
    </row>
    <row r="65" spans="1:11" s="143" customFormat="1" x14ac:dyDescent="0.2">
      <c r="A65" s="323">
        <v>2026</v>
      </c>
      <c r="B65" s="358"/>
      <c r="C65" s="359"/>
      <c r="D65" s="358"/>
      <c r="E65" s="359"/>
      <c r="F65" s="360"/>
      <c r="G65" s="359"/>
      <c r="H65" s="358"/>
      <c r="I65" s="359"/>
      <c r="J65" s="360"/>
      <c r="K65" s="359"/>
    </row>
    <row r="66" spans="1:11" s="143" customFormat="1" x14ac:dyDescent="0.2">
      <c r="A66" s="323">
        <v>2027</v>
      </c>
      <c r="B66" s="358"/>
      <c r="C66" s="359"/>
      <c r="D66" s="358"/>
      <c r="E66" s="359"/>
      <c r="F66" s="360"/>
      <c r="G66" s="359"/>
      <c r="H66" s="358"/>
      <c r="I66" s="359"/>
      <c r="J66" s="360"/>
      <c r="K66" s="359"/>
    </row>
    <row r="67" spans="1:11" s="143" customFormat="1" x14ac:dyDescent="0.2">
      <c r="A67" s="323">
        <v>2028</v>
      </c>
      <c r="B67" s="358"/>
      <c r="C67" s="359"/>
      <c r="D67" s="358"/>
      <c r="E67" s="359"/>
      <c r="F67" s="360"/>
      <c r="G67" s="359"/>
      <c r="H67" s="358"/>
      <c r="I67" s="359"/>
      <c r="J67" s="360"/>
      <c r="K67" s="359"/>
    </row>
    <row r="68" spans="1:11" s="143" customFormat="1" x14ac:dyDescent="0.2">
      <c r="A68" s="323">
        <v>2029</v>
      </c>
      <c r="B68" s="358"/>
      <c r="C68" s="359"/>
      <c r="D68" s="358"/>
      <c r="E68" s="359"/>
      <c r="F68" s="360"/>
      <c r="G68" s="359"/>
      <c r="H68" s="358"/>
      <c r="I68" s="359"/>
      <c r="J68" s="360"/>
      <c r="K68" s="359"/>
    </row>
    <row r="69" spans="1:11" s="143" customFormat="1" x14ac:dyDescent="0.2">
      <c r="A69" s="323">
        <v>2030</v>
      </c>
      <c r="B69" s="358"/>
      <c r="C69" s="359"/>
      <c r="D69" s="358"/>
      <c r="E69" s="359"/>
      <c r="F69" s="360"/>
      <c r="G69" s="359"/>
      <c r="H69" s="358"/>
      <c r="I69" s="359"/>
      <c r="J69" s="360"/>
      <c r="K69" s="359"/>
    </row>
    <row r="70" spans="1:11" s="143" customFormat="1" x14ac:dyDescent="0.2">
      <c r="A70" s="323"/>
      <c r="B70" s="324"/>
      <c r="C70" s="326"/>
      <c r="D70" s="325"/>
      <c r="E70" s="326"/>
      <c r="F70" s="327"/>
      <c r="G70" s="326"/>
      <c r="H70" s="324"/>
      <c r="I70" s="326"/>
      <c r="J70" s="327"/>
      <c r="K70" s="326"/>
    </row>
    <row r="71" spans="1:11" s="143" customFormat="1" x14ac:dyDescent="0.2">
      <c r="A71" s="323"/>
      <c r="B71" s="324"/>
      <c r="C71" s="326"/>
      <c r="D71" s="325"/>
      <c r="E71" s="326"/>
      <c r="F71" s="327"/>
      <c r="G71" s="326"/>
      <c r="H71" s="324"/>
      <c r="I71" s="326"/>
      <c r="J71" s="327"/>
      <c r="K71" s="326"/>
    </row>
    <row r="72" spans="1:11" s="143" customFormat="1" x14ac:dyDescent="0.2">
      <c r="A72" s="328"/>
      <c r="B72" s="329"/>
      <c r="C72" s="330"/>
      <c r="D72" s="331"/>
      <c r="E72" s="330"/>
      <c r="F72" s="332"/>
      <c r="G72" s="330"/>
      <c r="H72" s="329"/>
      <c r="I72" s="330"/>
      <c r="J72" s="332"/>
      <c r="K72" s="330"/>
    </row>
    <row r="73" spans="1:11" s="143" customFormat="1" x14ac:dyDescent="0.2">
      <c r="A73" s="333"/>
    </row>
    <row r="74" spans="1:11" x14ac:dyDescent="0.2">
      <c r="B74" s="12"/>
      <c r="C74" s="12"/>
    </row>
    <row r="75" spans="1:11" x14ac:dyDescent="0.2">
      <c r="B75" s="12"/>
      <c r="C75" s="12"/>
    </row>
    <row r="76" spans="1:11" x14ac:dyDescent="0.2">
      <c r="B76" s="12"/>
      <c r="C76" s="12"/>
    </row>
    <row r="77" spans="1:11" x14ac:dyDescent="0.2">
      <c r="B77" s="12"/>
      <c r="C77" s="12"/>
    </row>
  </sheetData>
  <mergeCells count="5">
    <mergeCell ref="B1:C1"/>
    <mergeCell ref="J1:K1"/>
    <mergeCell ref="D1:E1"/>
    <mergeCell ref="F1:G1"/>
    <mergeCell ref="H1:I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  <ignoredErrors>
    <ignoredError sqref="D44:G45 H44:H45 D46:E46 F46:H46 H47 D48:E48 F47 G49 G47 D47:E47 H48 F48 I49:K49 I48:K48 G48 D49:F49 H49 G50 D50:E50 D51:D5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4"/>
  </sheetPr>
  <dimension ref="A1:G77"/>
  <sheetViews>
    <sheetView showGridLines="0" zoomScaleNormal="100" workbookViewId="0">
      <pane ySplit="2" topLeftCell="A47" activePane="bottomLeft" state="frozen"/>
      <selection activeCell="K87" sqref="K87"/>
      <selection pane="bottomLeft" activeCell="E63" sqref="E63"/>
    </sheetView>
  </sheetViews>
  <sheetFormatPr defaultColWidth="8.85546875" defaultRowHeight="12.75" x14ac:dyDescent="0.2"/>
  <cols>
    <col min="1" max="1" width="7" style="1" customWidth="1"/>
    <col min="2" max="7" width="10.5703125" customWidth="1"/>
  </cols>
  <sheetData>
    <row r="1" spans="1:7" s="6" customFormat="1" ht="20.25" customHeight="1" x14ac:dyDescent="0.2">
      <c r="A1" s="16"/>
      <c r="B1" s="440" t="s">
        <v>6</v>
      </c>
      <c r="C1" s="437"/>
      <c r="D1" s="434" t="s">
        <v>12</v>
      </c>
      <c r="E1" s="435"/>
      <c r="F1" s="434" t="s">
        <v>8</v>
      </c>
      <c r="G1" s="436"/>
    </row>
    <row r="2" spans="1:7" s="2" customFormat="1" ht="25.5" customHeight="1" thickBot="1" x14ac:dyDescent="0.25">
      <c r="A2" s="5" t="s">
        <v>9</v>
      </c>
      <c r="B2" s="3" t="s">
        <v>0</v>
      </c>
      <c r="C2" s="4" t="s">
        <v>1</v>
      </c>
      <c r="D2" s="3" t="s">
        <v>0</v>
      </c>
      <c r="E2" s="4" t="s">
        <v>1</v>
      </c>
      <c r="F2" s="3" t="s">
        <v>0</v>
      </c>
      <c r="G2" s="4" t="s">
        <v>1</v>
      </c>
    </row>
    <row r="3" spans="1:7" ht="17.25" customHeight="1" thickTop="1" x14ac:dyDescent="0.2">
      <c r="A3" s="17">
        <v>1964</v>
      </c>
      <c r="B3" s="8"/>
      <c r="C3" s="9"/>
      <c r="D3" s="8"/>
      <c r="E3" s="9"/>
      <c r="F3" s="8"/>
      <c r="G3" s="9"/>
    </row>
    <row r="4" spans="1:7" x14ac:dyDescent="0.2">
      <c r="A4" s="17">
        <v>1965</v>
      </c>
      <c r="B4" s="8"/>
      <c r="C4" s="33"/>
      <c r="D4" s="8"/>
      <c r="E4" s="10"/>
      <c r="F4" s="8"/>
      <c r="G4" s="11"/>
    </row>
    <row r="5" spans="1:7" x14ac:dyDescent="0.2">
      <c r="A5" s="17">
        <v>1966</v>
      </c>
      <c r="B5" s="8"/>
      <c r="C5" s="33"/>
      <c r="D5" s="8"/>
      <c r="E5" s="10"/>
      <c r="F5" s="8"/>
      <c r="G5" s="11"/>
    </row>
    <row r="6" spans="1:7" x14ac:dyDescent="0.2">
      <c r="A6" s="17">
        <v>1967</v>
      </c>
      <c r="B6" s="8"/>
      <c r="C6" s="33"/>
      <c r="D6" s="8"/>
      <c r="E6" s="10"/>
      <c r="F6" s="8"/>
      <c r="G6" s="11"/>
    </row>
    <row r="7" spans="1:7" x14ac:dyDescent="0.2">
      <c r="A7" s="17">
        <v>1968</v>
      </c>
      <c r="B7" s="8"/>
      <c r="C7" s="33"/>
      <c r="D7" s="8"/>
      <c r="E7" s="10"/>
      <c r="F7" s="8"/>
      <c r="G7" s="11"/>
    </row>
    <row r="8" spans="1:7" x14ac:dyDescent="0.2">
      <c r="A8" s="17">
        <v>1969</v>
      </c>
      <c r="B8" s="8"/>
      <c r="C8" s="33"/>
      <c r="D8" s="8"/>
      <c r="E8" s="10"/>
      <c r="F8" s="8"/>
      <c r="G8" s="11"/>
    </row>
    <row r="9" spans="1:7" x14ac:dyDescent="0.2">
      <c r="A9" s="17">
        <v>1970</v>
      </c>
      <c r="B9" s="8"/>
      <c r="C9" s="33"/>
      <c r="D9" s="8"/>
      <c r="E9" s="10"/>
      <c r="F9" s="8"/>
      <c r="G9" s="11"/>
    </row>
    <row r="10" spans="1:7" x14ac:dyDescent="0.2">
      <c r="A10" s="17">
        <v>1971</v>
      </c>
      <c r="B10" s="8"/>
      <c r="C10" s="33"/>
      <c r="D10" s="8"/>
      <c r="E10" s="10"/>
      <c r="F10" s="8"/>
      <c r="G10" s="11"/>
    </row>
    <row r="11" spans="1:7" x14ac:dyDescent="0.2">
      <c r="A11" s="17">
        <v>1972</v>
      </c>
      <c r="B11" s="8"/>
      <c r="C11" s="33"/>
      <c r="D11" s="8"/>
      <c r="E11" s="10"/>
      <c r="F11" s="8"/>
      <c r="G11" s="11"/>
    </row>
    <row r="12" spans="1:7" x14ac:dyDescent="0.2">
      <c r="A12" s="17">
        <v>1973</v>
      </c>
      <c r="B12" s="8"/>
      <c r="C12" s="33"/>
      <c r="D12" s="8"/>
      <c r="E12" s="10"/>
      <c r="F12" s="8"/>
      <c r="G12" s="11"/>
    </row>
    <row r="13" spans="1:7" x14ac:dyDescent="0.2">
      <c r="A13" s="17">
        <v>1974</v>
      </c>
      <c r="B13" s="8"/>
      <c r="C13" s="33"/>
      <c r="D13" s="8"/>
      <c r="E13" s="10"/>
      <c r="F13" s="8"/>
      <c r="G13" s="11"/>
    </row>
    <row r="14" spans="1:7" x14ac:dyDescent="0.2">
      <c r="A14" s="17">
        <v>1975</v>
      </c>
      <c r="B14" s="8"/>
      <c r="C14" s="33"/>
      <c r="D14" s="8"/>
      <c r="E14" s="10"/>
      <c r="F14" s="8"/>
      <c r="G14" s="11"/>
    </row>
    <row r="15" spans="1:7" x14ac:dyDescent="0.2">
      <c r="A15" s="17">
        <v>1976</v>
      </c>
      <c r="B15" s="8"/>
      <c r="C15" s="33"/>
      <c r="D15" s="8"/>
      <c r="E15" s="10"/>
      <c r="F15" s="8"/>
      <c r="G15" s="11"/>
    </row>
    <row r="16" spans="1:7" x14ac:dyDescent="0.2">
      <c r="A16" s="17">
        <v>1977</v>
      </c>
      <c r="B16" s="8"/>
      <c r="C16" s="33"/>
      <c r="D16" s="8"/>
      <c r="E16" s="10"/>
      <c r="F16" s="8"/>
      <c r="G16" s="11"/>
    </row>
    <row r="17" spans="1:7" x14ac:dyDescent="0.2">
      <c r="A17" s="17">
        <v>1978</v>
      </c>
      <c r="B17" s="8"/>
      <c r="C17" s="33"/>
      <c r="D17" s="8"/>
      <c r="E17" s="10"/>
      <c r="F17" s="8"/>
      <c r="G17" s="11"/>
    </row>
    <row r="18" spans="1:7" x14ac:dyDescent="0.2">
      <c r="A18" s="17">
        <v>1979</v>
      </c>
      <c r="B18" s="8"/>
      <c r="C18" s="33"/>
      <c r="D18" s="8"/>
      <c r="E18" s="10"/>
      <c r="F18" s="8"/>
      <c r="G18" s="11"/>
    </row>
    <row r="19" spans="1:7" x14ac:dyDescent="0.2">
      <c r="A19" s="17">
        <v>1980</v>
      </c>
      <c r="B19" s="8"/>
      <c r="C19" s="33"/>
      <c r="D19" s="8"/>
      <c r="E19" s="10"/>
      <c r="F19" s="8"/>
      <c r="G19" s="11"/>
    </row>
    <row r="20" spans="1:7" x14ac:dyDescent="0.2">
      <c r="A20" s="17">
        <v>1981</v>
      </c>
      <c r="B20" s="8"/>
      <c r="C20" s="33"/>
      <c r="D20" s="8"/>
      <c r="E20" s="10"/>
      <c r="F20" s="8"/>
      <c r="G20" s="11"/>
    </row>
    <row r="21" spans="1:7" x14ac:dyDescent="0.2">
      <c r="A21" s="17">
        <v>1982</v>
      </c>
      <c r="B21" s="8"/>
      <c r="C21" s="33"/>
      <c r="D21" s="8"/>
      <c r="E21" s="10"/>
      <c r="F21" s="8"/>
      <c r="G21" s="11"/>
    </row>
    <row r="22" spans="1:7" x14ac:dyDescent="0.2">
      <c r="A22" s="17">
        <v>1983</v>
      </c>
      <c r="B22" s="8"/>
      <c r="C22" s="33"/>
      <c r="D22" s="8"/>
      <c r="E22" s="10"/>
      <c r="F22" s="8"/>
      <c r="G22" s="11"/>
    </row>
    <row r="23" spans="1:7" x14ac:dyDescent="0.2">
      <c r="A23" s="17">
        <v>1984</v>
      </c>
      <c r="B23" s="8"/>
      <c r="C23" s="33"/>
      <c r="D23" s="8"/>
      <c r="E23" s="10"/>
      <c r="F23" s="8"/>
      <c r="G23" s="11"/>
    </row>
    <row r="24" spans="1:7" x14ac:dyDescent="0.2">
      <c r="A24" s="17">
        <v>1985</v>
      </c>
      <c r="B24" s="8"/>
      <c r="C24" s="33"/>
      <c r="D24" s="8"/>
      <c r="E24" s="10"/>
      <c r="F24" s="8"/>
      <c r="G24" s="11"/>
    </row>
    <row r="25" spans="1:7" x14ac:dyDescent="0.2">
      <c r="A25" s="17">
        <v>1986</v>
      </c>
      <c r="B25" s="8"/>
      <c r="C25" s="33"/>
      <c r="D25" s="8"/>
      <c r="E25" s="10"/>
      <c r="F25" s="8"/>
      <c r="G25" s="11"/>
    </row>
    <row r="26" spans="1:7" x14ac:dyDescent="0.2">
      <c r="A26" s="17">
        <v>1987</v>
      </c>
      <c r="B26" s="51"/>
      <c r="C26" s="52"/>
      <c r="D26" s="51"/>
      <c r="E26" s="53"/>
      <c r="F26" s="51"/>
      <c r="G26" s="54"/>
    </row>
    <row r="27" spans="1:7" x14ac:dyDescent="0.2">
      <c r="A27" s="17">
        <v>1988</v>
      </c>
      <c r="B27" s="51"/>
      <c r="C27" s="52"/>
      <c r="D27" s="51"/>
      <c r="E27" s="53"/>
      <c r="F27" s="51"/>
      <c r="G27" s="54"/>
    </row>
    <row r="28" spans="1:7" x14ac:dyDescent="0.2">
      <c r="A28" s="17">
        <v>1989</v>
      </c>
      <c r="B28" s="51"/>
      <c r="C28" s="52"/>
      <c r="D28" s="51"/>
      <c r="E28" s="53"/>
      <c r="F28" s="51"/>
      <c r="G28" s="54"/>
    </row>
    <row r="29" spans="1:7" x14ac:dyDescent="0.2">
      <c r="A29" s="17">
        <v>1990</v>
      </c>
      <c r="B29" s="51"/>
      <c r="C29" s="52"/>
      <c r="D29" s="51">
        <f>'Lu-SL+DL'!J29</f>
        <v>2</v>
      </c>
      <c r="E29" s="53">
        <f>'Lu-SL+DL'!K29</f>
        <v>2</v>
      </c>
      <c r="F29" s="51">
        <f>B29+D29</f>
        <v>2</v>
      </c>
      <c r="G29" s="54">
        <f>C29+E29</f>
        <v>2</v>
      </c>
    </row>
    <row r="30" spans="1:7" x14ac:dyDescent="0.2">
      <c r="A30" s="17">
        <v>1991</v>
      </c>
      <c r="B30" s="51">
        <f>'Lu-SL+DL'!B30</f>
        <v>4</v>
      </c>
      <c r="C30" s="52">
        <f>'Lu-SL+DL'!C30</f>
        <v>4</v>
      </c>
      <c r="D30" s="51">
        <f>'Lu-SL+DL'!J30</f>
        <v>4</v>
      </c>
      <c r="E30" s="53">
        <f>'Lu-SL+DL'!K30</f>
        <v>6</v>
      </c>
      <c r="F30" s="51">
        <f t="shared" ref="F30:F43" si="0">B30+D30</f>
        <v>8</v>
      </c>
      <c r="G30" s="54">
        <f t="shared" ref="G30:G43" si="1">C30+E30</f>
        <v>10</v>
      </c>
    </row>
    <row r="31" spans="1:7" x14ac:dyDescent="0.2">
      <c r="A31" s="17">
        <v>1992</v>
      </c>
      <c r="B31" s="51">
        <f>'Lu-SL+DL'!B31</f>
        <v>12</v>
      </c>
      <c r="C31" s="52">
        <f>'Lu-SL+DL'!C31</f>
        <v>16</v>
      </c>
      <c r="D31" s="51">
        <f>'Lu-SL+DL'!J31</f>
        <v>10</v>
      </c>
      <c r="E31" s="53">
        <f>'Lu-SL+DL'!K31</f>
        <v>16</v>
      </c>
      <c r="F31" s="51">
        <f t="shared" si="0"/>
        <v>22</v>
      </c>
      <c r="G31" s="54">
        <f t="shared" si="1"/>
        <v>32</v>
      </c>
    </row>
    <row r="32" spans="1:7" x14ac:dyDescent="0.2">
      <c r="A32" s="17">
        <v>1993</v>
      </c>
      <c r="B32" s="51">
        <f>'Lu-SL+DL'!B32</f>
        <v>14</v>
      </c>
      <c r="C32" s="52">
        <f>'Lu-SL+DL'!C32</f>
        <v>30</v>
      </c>
      <c r="D32" s="51">
        <f>'Lu-SL+DL'!J32</f>
        <v>5</v>
      </c>
      <c r="E32" s="53">
        <f>'Lu-SL+DL'!K32</f>
        <v>21</v>
      </c>
      <c r="F32" s="51">
        <f t="shared" si="0"/>
        <v>19</v>
      </c>
      <c r="G32" s="54">
        <f t="shared" si="1"/>
        <v>51</v>
      </c>
    </row>
    <row r="33" spans="1:7" x14ac:dyDescent="0.2">
      <c r="A33" s="17">
        <v>1994</v>
      </c>
      <c r="B33" s="51">
        <f>'Lu-SL+DL'!B33</f>
        <v>16</v>
      </c>
      <c r="C33" s="52">
        <f>'Lu-SL+DL'!C33</f>
        <v>46</v>
      </c>
      <c r="D33" s="51">
        <f>'Lu-SL+DL'!J33</f>
        <v>11</v>
      </c>
      <c r="E33" s="53">
        <f>'Lu-SL+DL'!K33</f>
        <v>32</v>
      </c>
      <c r="F33" s="51">
        <f t="shared" si="0"/>
        <v>27</v>
      </c>
      <c r="G33" s="54">
        <f t="shared" si="1"/>
        <v>78</v>
      </c>
    </row>
    <row r="34" spans="1:7" x14ac:dyDescent="0.2">
      <c r="A34" s="17">
        <v>1995</v>
      </c>
      <c r="B34" s="51">
        <f>'Lu-SL+DL'!B34</f>
        <v>13</v>
      </c>
      <c r="C34" s="52">
        <f>'Lu-SL+DL'!C34</f>
        <v>59</v>
      </c>
      <c r="D34" s="51">
        <f>'Lu-SL+DL'!J34</f>
        <v>6</v>
      </c>
      <c r="E34" s="53">
        <f>'Lu-SL+DL'!K34</f>
        <v>38</v>
      </c>
      <c r="F34" s="51">
        <f t="shared" si="0"/>
        <v>19</v>
      </c>
      <c r="G34" s="54">
        <f t="shared" si="1"/>
        <v>97</v>
      </c>
    </row>
    <row r="35" spans="1:7" x14ac:dyDescent="0.2">
      <c r="A35" s="17">
        <v>1996</v>
      </c>
      <c r="B35" s="51">
        <f>'Lu-SL+DL'!B35</f>
        <v>17</v>
      </c>
      <c r="C35" s="52">
        <f>'Lu-SL+DL'!C35</f>
        <v>76</v>
      </c>
      <c r="D35" s="51">
        <f>'Lu-SL+DL'!J35</f>
        <v>6</v>
      </c>
      <c r="E35" s="53">
        <f>'Lu-SL+DL'!K35</f>
        <v>44</v>
      </c>
      <c r="F35" s="51">
        <f t="shared" si="0"/>
        <v>23</v>
      </c>
      <c r="G35" s="54">
        <f t="shared" si="1"/>
        <v>120</v>
      </c>
    </row>
    <row r="36" spans="1:7" x14ac:dyDescent="0.2">
      <c r="A36" s="17">
        <v>1997</v>
      </c>
      <c r="B36" s="51">
        <f>'Lu-SL+DL'!B36</f>
        <v>12</v>
      </c>
      <c r="C36" s="52">
        <f>'Lu-SL+DL'!C36</f>
        <v>88</v>
      </c>
      <c r="D36" s="51">
        <f>'Lu-SL+DL'!J36</f>
        <v>5</v>
      </c>
      <c r="E36" s="53">
        <f>'Lu-SL+DL'!K36</f>
        <v>49</v>
      </c>
      <c r="F36" s="51">
        <f t="shared" si="0"/>
        <v>17</v>
      </c>
      <c r="G36" s="54">
        <f t="shared" si="1"/>
        <v>137</v>
      </c>
    </row>
    <row r="37" spans="1:7" x14ac:dyDescent="0.2">
      <c r="A37" s="17">
        <v>1998</v>
      </c>
      <c r="B37" s="51">
        <f>'Lu-SL+DL'!B37</f>
        <v>23</v>
      </c>
      <c r="C37" s="52">
        <f>'Lu-SL+DL'!C37</f>
        <v>111</v>
      </c>
      <c r="D37" s="51">
        <f>'Lu-SL+DL'!J37</f>
        <v>10</v>
      </c>
      <c r="E37" s="53">
        <f>'Lu-SL+DL'!K37</f>
        <v>59</v>
      </c>
      <c r="F37" s="51">
        <f t="shared" si="0"/>
        <v>33</v>
      </c>
      <c r="G37" s="54">
        <f t="shared" si="1"/>
        <v>170</v>
      </c>
    </row>
    <row r="38" spans="1:7" x14ac:dyDescent="0.2">
      <c r="A38" s="18">
        <v>1999</v>
      </c>
      <c r="B38" s="55">
        <f>'Lu-SL+DL'!B38</f>
        <v>15</v>
      </c>
      <c r="C38" s="56">
        <f>'Lu-SL+DL'!C38</f>
        <v>126</v>
      </c>
      <c r="D38" s="55">
        <f>'Lu-SL+DL'!J38</f>
        <v>11</v>
      </c>
      <c r="E38" s="57">
        <f>'Lu-SL+DL'!K38</f>
        <v>70</v>
      </c>
      <c r="F38" s="55">
        <f t="shared" si="0"/>
        <v>26</v>
      </c>
      <c r="G38" s="58">
        <f t="shared" si="1"/>
        <v>196</v>
      </c>
    </row>
    <row r="39" spans="1:7" s="7" customFormat="1" ht="19.5" customHeight="1" x14ac:dyDescent="0.2">
      <c r="A39" s="17">
        <v>2000</v>
      </c>
      <c r="B39" s="51">
        <f>'Lu-SL+DL'!B39</f>
        <v>14</v>
      </c>
      <c r="C39" s="52">
        <f>'Lu-SL+DL'!C39</f>
        <v>140</v>
      </c>
      <c r="D39" s="51">
        <f>'Lu-SL+DL'!J39</f>
        <v>15</v>
      </c>
      <c r="E39" s="53">
        <f>'Lu-SL+DL'!K39</f>
        <v>85</v>
      </c>
      <c r="F39" s="51">
        <f t="shared" si="0"/>
        <v>29</v>
      </c>
      <c r="G39" s="54">
        <f t="shared" si="1"/>
        <v>225</v>
      </c>
    </row>
    <row r="40" spans="1:7" x14ac:dyDescent="0.2">
      <c r="A40" s="17">
        <v>2001</v>
      </c>
      <c r="B40" s="51">
        <f>'Lu-SL+DL'!B40</f>
        <v>13</v>
      </c>
      <c r="C40" s="52">
        <f>'Lu-SL+DL'!C40</f>
        <v>153</v>
      </c>
      <c r="D40" s="51">
        <f>'Lu-SL+DL'!J40</f>
        <v>7</v>
      </c>
      <c r="E40" s="53">
        <f>'Lu-SL+DL'!K40</f>
        <v>92</v>
      </c>
      <c r="F40" s="51">
        <f t="shared" si="0"/>
        <v>20</v>
      </c>
      <c r="G40" s="54">
        <f t="shared" si="1"/>
        <v>245</v>
      </c>
    </row>
    <row r="41" spans="1:7" x14ac:dyDescent="0.2">
      <c r="A41" s="17">
        <v>2002</v>
      </c>
      <c r="B41" s="51">
        <f>'Lu-SL+DL'!B41</f>
        <v>24</v>
      </c>
      <c r="C41" s="52">
        <f>'Lu-SL+DL'!C41</f>
        <v>177</v>
      </c>
      <c r="D41" s="51">
        <f>'Lu-SL+DL'!J41</f>
        <v>26</v>
      </c>
      <c r="E41" s="53">
        <f>'Lu-SL+DL'!K41</f>
        <v>118</v>
      </c>
      <c r="F41" s="51">
        <f t="shared" si="0"/>
        <v>50</v>
      </c>
      <c r="G41" s="54">
        <f t="shared" si="1"/>
        <v>295</v>
      </c>
    </row>
    <row r="42" spans="1:7" x14ac:dyDescent="0.2">
      <c r="A42" s="17">
        <v>2003</v>
      </c>
      <c r="B42" s="51">
        <f>'Lu-SL+DL'!B42</f>
        <v>17</v>
      </c>
      <c r="C42" s="52">
        <f>'Lu-SL+DL'!C42</f>
        <v>194</v>
      </c>
      <c r="D42" s="51">
        <f>'Lu-SL+DL'!J42</f>
        <v>8</v>
      </c>
      <c r="E42" s="53">
        <f>'Lu-SL+DL'!K42</f>
        <v>126</v>
      </c>
      <c r="F42" s="51">
        <f t="shared" si="0"/>
        <v>25</v>
      </c>
      <c r="G42" s="54">
        <f t="shared" si="1"/>
        <v>320</v>
      </c>
    </row>
    <row r="43" spans="1:7" x14ac:dyDescent="0.2">
      <c r="A43" s="17">
        <v>2004</v>
      </c>
      <c r="B43" s="51">
        <f>'Lu-SL+DL'!B43</f>
        <v>18</v>
      </c>
      <c r="C43" s="52">
        <f>'Lu-SL+DL'!C43</f>
        <v>212</v>
      </c>
      <c r="D43" s="51">
        <f>'Lu-SL+DL'!J43</f>
        <v>8</v>
      </c>
      <c r="E43" s="53">
        <f>'Lu-SL+DL'!K43</f>
        <v>134</v>
      </c>
      <c r="F43" s="51">
        <f t="shared" si="0"/>
        <v>26</v>
      </c>
      <c r="G43" s="54">
        <f t="shared" si="1"/>
        <v>346</v>
      </c>
    </row>
    <row r="44" spans="1:7" s="67" customFormat="1" x14ac:dyDescent="0.2">
      <c r="A44" s="17">
        <v>2005</v>
      </c>
      <c r="B44" s="51">
        <f>'Lu-SL+DL'!B44</f>
        <v>21</v>
      </c>
      <c r="C44" s="52">
        <f>'Lu-SL+DL'!C44</f>
        <v>233</v>
      </c>
      <c r="D44" s="51">
        <f>'Lu-SL+DL'!J44</f>
        <v>16</v>
      </c>
      <c r="E44" s="53">
        <f>'Lu-SL+DL'!K44</f>
        <v>150</v>
      </c>
      <c r="F44" s="51">
        <f t="shared" ref="F44:G46" si="2">B44+D44</f>
        <v>37</v>
      </c>
      <c r="G44" s="54">
        <f t="shared" si="2"/>
        <v>383</v>
      </c>
    </row>
    <row r="45" spans="1:7" s="67" customFormat="1" x14ac:dyDescent="0.2">
      <c r="A45" s="17">
        <v>2006</v>
      </c>
      <c r="B45" s="51">
        <f>'Lu-SL+DL'!B45</f>
        <v>32</v>
      </c>
      <c r="C45" s="52">
        <f>'Lu-SL+DL'!C45</f>
        <v>265</v>
      </c>
      <c r="D45" s="51">
        <f>'Lu-SL+DL'!J45</f>
        <v>18</v>
      </c>
      <c r="E45" s="53">
        <f>'Lu-SL+DL'!K45</f>
        <v>168</v>
      </c>
      <c r="F45" s="51">
        <f t="shared" si="2"/>
        <v>50</v>
      </c>
      <c r="G45" s="54">
        <f t="shared" si="2"/>
        <v>433</v>
      </c>
    </row>
    <row r="46" spans="1:7" s="67" customFormat="1" x14ac:dyDescent="0.2">
      <c r="A46" s="17">
        <v>2007</v>
      </c>
      <c r="B46" s="51">
        <f>'Lu-SL+DL'!B46</f>
        <v>27</v>
      </c>
      <c r="C46" s="52">
        <f>'Lu-SL+DL'!C46</f>
        <v>292</v>
      </c>
      <c r="D46" s="51">
        <f>'Lu-SL+DL'!J46</f>
        <v>16</v>
      </c>
      <c r="E46" s="53">
        <f>'Lu-SL+DL'!K46</f>
        <v>184</v>
      </c>
      <c r="F46" s="51">
        <f t="shared" si="2"/>
        <v>43</v>
      </c>
      <c r="G46" s="54">
        <f t="shared" si="2"/>
        <v>476</v>
      </c>
    </row>
    <row r="47" spans="1:7" s="67" customFormat="1" x14ac:dyDescent="0.2">
      <c r="A47" s="17">
        <v>2008</v>
      </c>
      <c r="B47" s="51">
        <f>'Lu-SL+DL'!B47</f>
        <v>34</v>
      </c>
      <c r="C47" s="52">
        <f>'Lu-SL+DL'!C47</f>
        <v>326</v>
      </c>
      <c r="D47" s="51">
        <f>'Lu-SL+DL'!J47</f>
        <v>17</v>
      </c>
      <c r="E47" s="53">
        <f>'Lu-SL+DL'!K47</f>
        <v>201</v>
      </c>
      <c r="F47" s="51">
        <f t="shared" ref="F47:G49" si="3">B47+D47</f>
        <v>51</v>
      </c>
      <c r="G47" s="54">
        <f t="shared" si="3"/>
        <v>527</v>
      </c>
    </row>
    <row r="48" spans="1:7" s="67" customFormat="1" x14ac:dyDescent="0.2">
      <c r="A48" s="17">
        <v>2009</v>
      </c>
      <c r="B48" s="51">
        <f>'Lu-SL+DL'!B48</f>
        <v>36</v>
      </c>
      <c r="C48" s="52">
        <f>'Lu-SL+DL'!C48</f>
        <v>362</v>
      </c>
      <c r="D48" s="51">
        <f>'Lu-SL+DL'!J48</f>
        <v>14</v>
      </c>
      <c r="E48" s="53">
        <f>'Lu-SL+DL'!K48</f>
        <v>215</v>
      </c>
      <c r="F48" s="51">
        <f t="shared" si="3"/>
        <v>50</v>
      </c>
      <c r="G48" s="54">
        <f t="shared" si="3"/>
        <v>577</v>
      </c>
    </row>
    <row r="49" spans="1:7" s="67" customFormat="1" x14ac:dyDescent="0.2">
      <c r="A49" s="17">
        <v>2010</v>
      </c>
      <c r="B49" s="51">
        <f>'Lu-SL+DL'!B49</f>
        <v>38</v>
      </c>
      <c r="C49" s="52">
        <f>'Lu-SL+DL'!C49</f>
        <v>400</v>
      </c>
      <c r="D49" s="137">
        <f>'Lu-SL+DL'!J49</f>
        <v>13</v>
      </c>
      <c r="E49" s="53">
        <f>'Lu-SL+DL'!K49</f>
        <v>228</v>
      </c>
      <c r="F49" s="51">
        <f t="shared" si="3"/>
        <v>51</v>
      </c>
      <c r="G49" s="54">
        <f t="shared" si="3"/>
        <v>628</v>
      </c>
    </row>
    <row r="50" spans="1:7" s="165" customFormat="1" x14ac:dyDescent="0.2">
      <c r="A50" s="157">
        <v>2011</v>
      </c>
      <c r="B50" s="161">
        <f>'Lu-SL+DL'!B50</f>
        <v>38</v>
      </c>
      <c r="C50" s="127">
        <f>'Lu-SL+DL'!C50</f>
        <v>438</v>
      </c>
      <c r="D50" s="161">
        <f>'Lu-SL+DL'!J50</f>
        <v>21</v>
      </c>
      <c r="E50" s="126">
        <f>'Lu-SL+DL'!K50</f>
        <v>249</v>
      </c>
      <c r="F50" s="161">
        <f t="shared" ref="F50:G52" si="4">B50+D50</f>
        <v>59</v>
      </c>
      <c r="G50" s="133">
        <f t="shared" si="4"/>
        <v>687</v>
      </c>
    </row>
    <row r="51" spans="1:7" s="165" customFormat="1" x14ac:dyDescent="0.2">
      <c r="A51" s="157">
        <v>2012</v>
      </c>
      <c r="B51" s="161">
        <f>'Lu-SL+DL'!B51</f>
        <v>44</v>
      </c>
      <c r="C51" s="127">
        <f>'Lu-SL+DL'!C51</f>
        <v>482</v>
      </c>
      <c r="D51" s="161">
        <f>'Lu-SL+DL'!J51</f>
        <v>15</v>
      </c>
      <c r="E51" s="126">
        <f>'Lu-SL+DL'!K51</f>
        <v>264</v>
      </c>
      <c r="F51" s="161">
        <f t="shared" si="4"/>
        <v>59</v>
      </c>
      <c r="G51" s="133">
        <f t="shared" si="4"/>
        <v>746</v>
      </c>
    </row>
    <row r="52" spans="1:7" s="165" customFormat="1" x14ac:dyDescent="0.2">
      <c r="A52" s="157">
        <v>2013</v>
      </c>
      <c r="B52" s="161">
        <f>'Lu-SL+DL'!B52</f>
        <v>42</v>
      </c>
      <c r="C52" s="127">
        <f>'Lu-SL+DL'!C52</f>
        <v>524</v>
      </c>
      <c r="D52" s="161">
        <f>'Lu-SL+DL'!J52</f>
        <v>16</v>
      </c>
      <c r="E52" s="126">
        <f>'Lu-SL+DL'!K52</f>
        <v>280</v>
      </c>
      <c r="F52" s="161">
        <f t="shared" si="4"/>
        <v>58</v>
      </c>
      <c r="G52" s="133">
        <f t="shared" si="4"/>
        <v>804</v>
      </c>
    </row>
    <row r="53" spans="1:7" s="165" customFormat="1" x14ac:dyDescent="0.2">
      <c r="A53" s="157">
        <v>2014</v>
      </c>
      <c r="B53" s="161">
        <f>'Lu-SL+DL'!B53</f>
        <v>47</v>
      </c>
      <c r="C53" s="127">
        <f>'Lu-SL+DL'!C53</f>
        <v>571</v>
      </c>
      <c r="D53" s="161">
        <f>'Lu-SL+DL'!J53</f>
        <v>17</v>
      </c>
      <c r="E53" s="126">
        <f>'Lu-SL+DL'!K53</f>
        <v>297</v>
      </c>
      <c r="F53" s="161">
        <f t="shared" ref="F53:G55" si="5">B53+D53</f>
        <v>64</v>
      </c>
      <c r="G53" s="133">
        <f t="shared" si="5"/>
        <v>868</v>
      </c>
    </row>
    <row r="54" spans="1:7" s="165" customFormat="1" x14ac:dyDescent="0.2">
      <c r="A54" s="157">
        <v>2015</v>
      </c>
      <c r="B54" s="161">
        <f>'Lu-SL+DL'!B54</f>
        <v>37</v>
      </c>
      <c r="C54" s="127">
        <f>'Lu-SL+DL'!C54</f>
        <v>608</v>
      </c>
      <c r="D54" s="161">
        <f>'Lu-SL+DL'!J54</f>
        <v>10</v>
      </c>
      <c r="E54" s="126">
        <f>'Lu-SL+DL'!K54</f>
        <v>307</v>
      </c>
      <c r="F54" s="161">
        <f t="shared" si="5"/>
        <v>47</v>
      </c>
      <c r="G54" s="133">
        <f t="shared" si="5"/>
        <v>915</v>
      </c>
    </row>
    <row r="55" spans="1:7" s="165" customFormat="1" x14ac:dyDescent="0.2">
      <c r="A55" s="17">
        <v>2016</v>
      </c>
      <c r="B55" s="161">
        <f>'Lu-SL+DL'!B55</f>
        <v>40</v>
      </c>
      <c r="C55" s="127">
        <f>'Lu-SL+DL'!C55</f>
        <v>648</v>
      </c>
      <c r="D55" s="161">
        <f>'Lu-SL+DL'!J55</f>
        <v>22</v>
      </c>
      <c r="E55" s="126">
        <f>'Lu-SL+DL'!K55</f>
        <v>329</v>
      </c>
      <c r="F55" s="161">
        <f t="shared" si="5"/>
        <v>62</v>
      </c>
      <c r="G55" s="133">
        <f t="shared" si="5"/>
        <v>977</v>
      </c>
    </row>
    <row r="56" spans="1:7" s="165" customFormat="1" x14ac:dyDescent="0.2">
      <c r="A56" s="17">
        <v>2017</v>
      </c>
      <c r="B56" s="163">
        <f>'Lu-SL+DL'!B56</f>
        <v>42</v>
      </c>
      <c r="C56" s="127">
        <f>'Lu-SL+DL'!C56</f>
        <v>690</v>
      </c>
      <c r="D56" s="161">
        <f>'Lu-SL+DL'!J56</f>
        <v>23</v>
      </c>
      <c r="E56" s="126">
        <f>'Lu-SL+DL'!K56</f>
        <v>352</v>
      </c>
      <c r="F56" s="161">
        <f t="shared" ref="F56:G58" si="6">B56+D56</f>
        <v>65</v>
      </c>
      <c r="G56" s="133">
        <f t="shared" si="6"/>
        <v>1042</v>
      </c>
    </row>
    <row r="57" spans="1:7" s="165" customFormat="1" x14ac:dyDescent="0.2">
      <c r="A57" s="17">
        <v>2018</v>
      </c>
      <c r="B57" s="163">
        <f>'Lu-SL+DL'!B57</f>
        <v>55</v>
      </c>
      <c r="C57" s="127">
        <f>'Lu-SL+DL'!C57</f>
        <v>745</v>
      </c>
      <c r="D57" s="161">
        <f>'Lu-SL+DL'!J57</f>
        <v>19</v>
      </c>
      <c r="E57" s="126">
        <f>'Lu-SL+DL'!K57</f>
        <v>371</v>
      </c>
      <c r="F57" s="161">
        <f t="shared" si="6"/>
        <v>74</v>
      </c>
      <c r="G57" s="133">
        <f t="shared" si="6"/>
        <v>1116</v>
      </c>
    </row>
    <row r="58" spans="1:7" s="165" customFormat="1" x14ac:dyDescent="0.2">
      <c r="A58" s="17">
        <v>2019</v>
      </c>
      <c r="B58" s="163">
        <f>'Lu-SL+DL'!B58</f>
        <v>40</v>
      </c>
      <c r="C58" s="127">
        <f>'Lu-SL+DL'!C58</f>
        <v>785</v>
      </c>
      <c r="D58" s="161">
        <f>'Lu-SL+DL'!J58</f>
        <v>15</v>
      </c>
      <c r="E58" s="126">
        <f>'Lu-SL+DL'!K58</f>
        <v>386</v>
      </c>
      <c r="F58" s="161">
        <f t="shared" si="6"/>
        <v>55</v>
      </c>
      <c r="G58" s="133">
        <f t="shared" si="6"/>
        <v>1171</v>
      </c>
    </row>
    <row r="59" spans="1:7" s="165" customFormat="1" x14ac:dyDescent="0.2">
      <c r="A59" s="17">
        <v>2020</v>
      </c>
      <c r="B59" s="163">
        <f>'Lu-SL+DL'!B59</f>
        <v>39</v>
      </c>
      <c r="C59" s="127">
        <f>'Lu-SL+DL'!C59</f>
        <v>824</v>
      </c>
      <c r="D59" s="161">
        <f>'Lu-SL+DL'!J59</f>
        <v>12</v>
      </c>
      <c r="E59" s="126">
        <f>'Lu-SL+DL'!K59</f>
        <v>398</v>
      </c>
      <c r="F59" s="161">
        <f t="shared" ref="F59:G61" si="7">B59+D59</f>
        <v>51</v>
      </c>
      <c r="G59" s="133">
        <f t="shared" si="7"/>
        <v>1222</v>
      </c>
    </row>
    <row r="60" spans="1:7" s="165" customFormat="1" x14ac:dyDescent="0.2">
      <c r="A60" s="17">
        <v>2021</v>
      </c>
      <c r="B60" s="163">
        <f>'Lu-SL+DL'!B60</f>
        <v>33</v>
      </c>
      <c r="C60" s="127">
        <f>'Lu-SL+DL'!C60</f>
        <v>857</v>
      </c>
      <c r="D60" s="161">
        <f>'Lu-SL+DL'!J60</f>
        <v>18</v>
      </c>
      <c r="E60" s="126">
        <f>'Lu-SL+DL'!K60</f>
        <v>416</v>
      </c>
      <c r="F60" s="161">
        <f t="shared" si="7"/>
        <v>51</v>
      </c>
      <c r="G60" s="133">
        <f t="shared" si="7"/>
        <v>1273</v>
      </c>
    </row>
    <row r="61" spans="1:7" s="165" customFormat="1" x14ac:dyDescent="0.2">
      <c r="A61" s="17">
        <v>2022</v>
      </c>
      <c r="B61" s="182">
        <f>'Lu-SL+DL'!B61</f>
        <v>34</v>
      </c>
      <c r="C61" s="151">
        <f>'Lu-SL+DL'!C61</f>
        <v>891</v>
      </c>
      <c r="D61" s="175">
        <f>'Lu-SL+DL'!J61</f>
        <v>15</v>
      </c>
      <c r="E61" s="177">
        <f>'Lu-SL+DL'!K61</f>
        <v>431</v>
      </c>
      <c r="F61" s="175">
        <f t="shared" si="7"/>
        <v>49</v>
      </c>
      <c r="G61" s="178">
        <f t="shared" si="7"/>
        <v>1322</v>
      </c>
    </row>
    <row r="62" spans="1:7" s="165" customFormat="1" x14ac:dyDescent="0.2">
      <c r="A62" s="17">
        <v>2023</v>
      </c>
      <c r="B62" s="182">
        <f>'Lu-SL+DL'!B62</f>
        <v>65</v>
      </c>
      <c r="C62" s="151">
        <f>'Lu-SL+DL'!C62</f>
        <v>956</v>
      </c>
      <c r="D62" s="175">
        <f>'Lu-SL+DL'!J62</f>
        <v>20</v>
      </c>
      <c r="E62" s="177">
        <f>'Lu-SL+DL'!K62</f>
        <v>451</v>
      </c>
      <c r="F62" s="175">
        <f>B62+D62</f>
        <v>85</v>
      </c>
      <c r="G62" s="178">
        <f>C62+E62</f>
        <v>1407</v>
      </c>
    </row>
    <row r="63" spans="1:7" x14ac:dyDescent="0.2">
      <c r="A63" s="221">
        <v>2024</v>
      </c>
      <c r="B63" s="182">
        <f>'Lu-SL+DL'!B63</f>
        <v>42</v>
      </c>
      <c r="C63" s="151">
        <f>'Lu-SL+DL'!C63</f>
        <v>998</v>
      </c>
      <c r="D63" s="175">
        <f>'Lu-SL+DL'!J63</f>
        <v>16</v>
      </c>
      <c r="E63" s="177">
        <f>'Lu-SL+DL'!K63</f>
        <v>467</v>
      </c>
      <c r="F63" s="175">
        <f>B63+D63</f>
        <v>58</v>
      </c>
      <c r="G63" s="178">
        <f>C63+E63</f>
        <v>1465</v>
      </c>
    </row>
    <row r="64" spans="1:7" x14ac:dyDescent="0.2">
      <c r="A64" s="17">
        <v>2025</v>
      </c>
      <c r="B64" s="51"/>
      <c r="C64" s="54"/>
      <c r="D64" s="51"/>
      <c r="E64" s="62"/>
      <c r="F64" s="63"/>
      <c r="G64" s="62"/>
    </row>
    <row r="65" spans="1:7" x14ac:dyDescent="0.2">
      <c r="A65" s="17">
        <v>2026</v>
      </c>
      <c r="B65" s="51"/>
      <c r="C65" s="54"/>
      <c r="D65" s="51"/>
      <c r="E65" s="62"/>
      <c r="F65" s="63"/>
      <c r="G65" s="62"/>
    </row>
    <row r="66" spans="1:7" x14ac:dyDescent="0.2">
      <c r="A66" s="17">
        <v>2027</v>
      </c>
      <c r="B66" s="51"/>
      <c r="C66" s="54"/>
      <c r="D66" s="51"/>
      <c r="E66" s="62"/>
      <c r="F66" s="63"/>
      <c r="G66" s="62"/>
    </row>
    <row r="67" spans="1:7" x14ac:dyDescent="0.2">
      <c r="A67" s="17">
        <v>2028</v>
      </c>
      <c r="B67" s="51"/>
      <c r="C67" s="54"/>
      <c r="D67" s="51"/>
      <c r="E67" s="62"/>
      <c r="F67" s="63"/>
      <c r="G67" s="62"/>
    </row>
    <row r="68" spans="1:7" x14ac:dyDescent="0.2">
      <c r="A68" s="17">
        <v>2029</v>
      </c>
      <c r="B68" s="51"/>
      <c r="C68" s="54"/>
      <c r="D68" s="51"/>
      <c r="E68" s="62"/>
      <c r="F68" s="63"/>
      <c r="G68" s="62"/>
    </row>
    <row r="69" spans="1:7" x14ac:dyDescent="0.2">
      <c r="A69" s="17">
        <v>2030</v>
      </c>
      <c r="B69" s="51"/>
      <c r="C69" s="54"/>
      <c r="D69" s="51"/>
      <c r="E69" s="62"/>
      <c r="F69" s="63"/>
      <c r="G69" s="62"/>
    </row>
    <row r="70" spans="1:7" x14ac:dyDescent="0.2">
      <c r="A70" s="17"/>
      <c r="B70" s="51"/>
      <c r="C70" s="54"/>
      <c r="D70" s="51"/>
      <c r="E70" s="62"/>
      <c r="F70" s="63"/>
      <c r="G70" s="62"/>
    </row>
    <row r="71" spans="1:7" x14ac:dyDescent="0.2">
      <c r="A71" s="17"/>
      <c r="B71" s="51"/>
      <c r="C71" s="54"/>
      <c r="D71" s="51"/>
      <c r="E71" s="62"/>
      <c r="F71" s="63"/>
      <c r="G71" s="62"/>
    </row>
    <row r="72" spans="1:7" x14ac:dyDescent="0.2">
      <c r="A72" s="18"/>
      <c r="B72" s="81"/>
      <c r="C72" s="58"/>
      <c r="D72" s="81"/>
      <c r="E72" s="75"/>
      <c r="F72" s="74"/>
      <c r="G72" s="75"/>
    </row>
    <row r="73" spans="1:7" x14ac:dyDescent="0.2">
      <c r="B73" s="12"/>
      <c r="C73" s="12"/>
    </row>
    <row r="74" spans="1:7" x14ac:dyDescent="0.2">
      <c r="B74" s="12"/>
      <c r="C74" s="12"/>
    </row>
    <row r="75" spans="1:7" x14ac:dyDescent="0.2">
      <c r="B75" s="12"/>
      <c r="C75" s="12"/>
    </row>
    <row r="76" spans="1:7" x14ac:dyDescent="0.2">
      <c r="B76" s="12"/>
      <c r="C76" s="12"/>
    </row>
    <row r="77" spans="1:7" x14ac:dyDescent="0.2">
      <c r="B77" s="12"/>
      <c r="C77" s="12"/>
    </row>
  </sheetData>
  <mergeCells count="3">
    <mergeCell ref="B1:C1"/>
    <mergeCell ref="F1:G1"/>
    <mergeCell ref="D1:E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4"/>
  </sheetPr>
  <dimension ref="A1:Y339"/>
  <sheetViews>
    <sheetView showGridLines="0" zoomScaleNormal="100" workbookViewId="0">
      <pane ySplit="2" topLeftCell="A39" activePane="bottomLeft" state="frozen"/>
      <selection activeCell="K87" sqref="K87"/>
      <selection pane="bottomLeft" activeCell="L63" sqref="L63"/>
    </sheetView>
  </sheetViews>
  <sheetFormatPr defaultColWidth="8.85546875" defaultRowHeight="12.75" x14ac:dyDescent="0.2"/>
  <cols>
    <col min="1" max="1" width="5.42578125" style="1" customWidth="1"/>
    <col min="2" max="3" width="6.42578125" customWidth="1"/>
    <col min="4" max="6" width="7.42578125" customWidth="1"/>
    <col min="7" max="11" width="6.42578125" customWidth="1"/>
    <col min="12" max="14" width="7.42578125" customWidth="1"/>
    <col min="15" max="19" width="6.42578125" customWidth="1"/>
    <col min="20" max="22" width="7.42578125" customWidth="1"/>
    <col min="23" max="25" width="6.42578125" customWidth="1"/>
  </cols>
  <sheetData>
    <row r="1" spans="1:25" s="6" customFormat="1" ht="20.25" customHeight="1" x14ac:dyDescent="0.2">
      <c r="A1" s="16"/>
      <c r="B1" s="434" t="s">
        <v>6</v>
      </c>
      <c r="C1" s="435"/>
      <c r="D1" s="435"/>
      <c r="E1" s="435"/>
      <c r="F1" s="435"/>
      <c r="G1" s="435"/>
      <c r="H1" s="435"/>
      <c r="I1" s="241"/>
      <c r="J1" s="434" t="s">
        <v>12</v>
      </c>
      <c r="K1" s="435"/>
      <c r="L1" s="435"/>
      <c r="M1" s="435"/>
      <c r="N1" s="435"/>
      <c r="O1" s="435"/>
      <c r="P1" s="435"/>
      <c r="Q1" s="241"/>
      <c r="R1" s="434" t="s">
        <v>8</v>
      </c>
      <c r="S1" s="435"/>
      <c r="T1" s="435"/>
      <c r="U1" s="435"/>
      <c r="V1" s="435"/>
      <c r="W1" s="435"/>
      <c r="X1" s="435"/>
      <c r="Y1" s="436"/>
    </row>
    <row r="2" spans="1:25" s="2" customFormat="1" ht="25.5" customHeight="1" thickBot="1" x14ac:dyDescent="0.25">
      <c r="A2" s="5" t="s">
        <v>9</v>
      </c>
      <c r="B2" s="3" t="s">
        <v>0</v>
      </c>
      <c r="C2" s="4" t="s">
        <v>1</v>
      </c>
      <c r="D2" s="245" t="s">
        <v>48</v>
      </c>
      <c r="E2" s="245" t="s">
        <v>49</v>
      </c>
      <c r="F2" s="245" t="s">
        <v>50</v>
      </c>
      <c r="G2" s="5" t="s">
        <v>13</v>
      </c>
      <c r="H2" s="5" t="s">
        <v>14</v>
      </c>
      <c r="I2" s="38" t="s">
        <v>51</v>
      </c>
      <c r="J2" s="3" t="s">
        <v>0</v>
      </c>
      <c r="K2" s="4" t="s">
        <v>1</v>
      </c>
      <c r="L2" s="245" t="s">
        <v>48</v>
      </c>
      <c r="M2" s="245" t="s">
        <v>49</v>
      </c>
      <c r="N2" s="245" t="s">
        <v>50</v>
      </c>
      <c r="O2" s="5" t="s">
        <v>13</v>
      </c>
      <c r="P2" s="5" t="s">
        <v>14</v>
      </c>
      <c r="Q2" s="38" t="s">
        <v>51</v>
      </c>
      <c r="R2" s="3" t="s">
        <v>0</v>
      </c>
      <c r="S2" s="4" t="s">
        <v>1</v>
      </c>
      <c r="T2" s="245" t="s">
        <v>48</v>
      </c>
      <c r="U2" s="245" t="s">
        <v>49</v>
      </c>
      <c r="V2" s="245" t="s">
        <v>50</v>
      </c>
      <c r="W2" s="5" t="s">
        <v>13</v>
      </c>
      <c r="X2" s="5" t="s">
        <v>14</v>
      </c>
      <c r="Y2" s="244" t="s">
        <v>51</v>
      </c>
    </row>
    <row r="3" spans="1:25" ht="17.25" customHeight="1" thickTop="1" x14ac:dyDescent="0.2">
      <c r="A3" s="17">
        <v>1964</v>
      </c>
      <c r="B3" s="8"/>
      <c r="C3" s="9"/>
      <c r="D3" s="9"/>
      <c r="E3" s="9"/>
      <c r="F3" s="9"/>
      <c r="G3" s="9"/>
      <c r="H3" s="19"/>
      <c r="I3" s="242"/>
      <c r="J3" s="22"/>
      <c r="K3" s="9"/>
      <c r="L3" s="9"/>
      <c r="M3" s="9"/>
      <c r="N3" s="9"/>
      <c r="O3" s="9"/>
      <c r="P3" s="9"/>
      <c r="Q3" s="37"/>
      <c r="R3" s="8"/>
      <c r="S3" s="9"/>
      <c r="T3" s="9"/>
      <c r="U3" s="9"/>
      <c r="V3" s="9"/>
      <c r="W3" s="9"/>
      <c r="X3" s="9"/>
      <c r="Y3" s="26"/>
    </row>
    <row r="4" spans="1:25" x14ac:dyDescent="0.2">
      <c r="A4" s="17">
        <v>1965</v>
      </c>
      <c r="B4" s="8"/>
      <c r="C4" s="10"/>
      <c r="D4" s="11"/>
      <c r="E4" s="11"/>
      <c r="F4" s="11"/>
      <c r="G4" s="11"/>
      <c r="H4" s="10"/>
      <c r="I4" s="33"/>
      <c r="J4" s="8"/>
      <c r="K4" s="10"/>
      <c r="L4" s="11"/>
      <c r="M4" s="11"/>
      <c r="N4" s="11"/>
      <c r="O4" s="11"/>
      <c r="P4" s="11"/>
      <c r="Q4" s="37"/>
      <c r="R4" s="8"/>
      <c r="S4" s="10"/>
      <c r="T4" s="11"/>
      <c r="U4" s="11"/>
      <c r="V4" s="11"/>
      <c r="W4" s="11"/>
      <c r="X4" s="11"/>
      <c r="Y4" s="26"/>
    </row>
    <row r="5" spans="1:25" x14ac:dyDescent="0.2">
      <c r="A5" s="17">
        <v>1966</v>
      </c>
      <c r="B5" s="8"/>
      <c r="C5" s="10"/>
      <c r="D5" s="11"/>
      <c r="E5" s="11"/>
      <c r="F5" s="11"/>
      <c r="G5" s="11"/>
      <c r="H5" s="10"/>
      <c r="I5" s="33"/>
      <c r="J5" s="8"/>
      <c r="K5" s="10"/>
      <c r="L5" s="11"/>
      <c r="M5" s="11"/>
      <c r="N5" s="11"/>
      <c r="O5" s="11"/>
      <c r="P5" s="11"/>
      <c r="Q5" s="37"/>
      <c r="R5" s="8"/>
      <c r="S5" s="10"/>
      <c r="T5" s="11"/>
      <c r="U5" s="11"/>
      <c r="V5" s="11"/>
      <c r="W5" s="11"/>
      <c r="X5" s="11"/>
      <c r="Y5" s="26"/>
    </row>
    <row r="6" spans="1:25" x14ac:dyDescent="0.2">
      <c r="A6" s="17">
        <v>1967</v>
      </c>
      <c r="B6" s="8"/>
      <c r="C6" s="10"/>
      <c r="D6" s="11"/>
      <c r="E6" s="11"/>
      <c r="F6" s="11"/>
      <c r="G6" s="11"/>
      <c r="H6" s="10"/>
      <c r="I6" s="33"/>
      <c r="J6" s="8"/>
      <c r="K6" s="10"/>
      <c r="L6" s="11"/>
      <c r="M6" s="11"/>
      <c r="N6" s="11"/>
      <c r="O6" s="11"/>
      <c r="P6" s="11"/>
      <c r="Q6" s="37"/>
      <c r="R6" s="8"/>
      <c r="S6" s="10"/>
      <c r="T6" s="11"/>
      <c r="U6" s="11"/>
      <c r="V6" s="11"/>
      <c r="W6" s="11"/>
      <c r="X6" s="11"/>
      <c r="Y6" s="26"/>
    </row>
    <row r="7" spans="1:25" x14ac:dyDescent="0.2">
      <c r="A7" s="17">
        <v>1968</v>
      </c>
      <c r="B7" s="51"/>
      <c r="C7" s="53"/>
      <c r="D7" s="54"/>
      <c r="E7" s="54"/>
      <c r="F7" s="54"/>
      <c r="G7" s="54"/>
      <c r="H7" s="53"/>
      <c r="I7" s="52"/>
      <c r="J7" s="51"/>
      <c r="K7" s="53"/>
      <c r="L7" s="54"/>
      <c r="M7" s="54"/>
      <c r="N7" s="54"/>
      <c r="O7" s="54"/>
      <c r="P7" s="54"/>
      <c r="Q7" s="82"/>
      <c r="R7" s="51"/>
      <c r="S7" s="53"/>
      <c r="T7" s="54"/>
      <c r="U7" s="54"/>
      <c r="V7" s="54"/>
      <c r="W7" s="54"/>
      <c r="X7" s="54"/>
      <c r="Y7" s="26"/>
    </row>
    <row r="8" spans="1:25" x14ac:dyDescent="0.2">
      <c r="A8" s="17">
        <v>1969</v>
      </c>
      <c r="B8" s="51"/>
      <c r="C8" s="53"/>
      <c r="D8" s="54"/>
      <c r="E8" s="54"/>
      <c r="F8" s="54"/>
      <c r="G8" s="54"/>
      <c r="H8" s="53"/>
      <c r="I8" s="52"/>
      <c r="J8" s="51"/>
      <c r="K8" s="53"/>
      <c r="L8" s="54"/>
      <c r="M8" s="54"/>
      <c r="N8" s="54"/>
      <c r="O8" s="54"/>
      <c r="P8" s="54"/>
      <c r="Q8" s="82"/>
      <c r="R8" s="51"/>
      <c r="S8" s="53"/>
      <c r="T8" s="54"/>
      <c r="U8" s="54"/>
      <c r="V8" s="54"/>
      <c r="W8" s="54"/>
      <c r="X8" s="54"/>
      <c r="Y8" s="26"/>
    </row>
    <row r="9" spans="1:25" x14ac:dyDescent="0.2">
      <c r="A9" s="17">
        <v>1970</v>
      </c>
      <c r="B9" s="51"/>
      <c r="C9" s="53"/>
      <c r="D9" s="54"/>
      <c r="E9" s="54"/>
      <c r="F9" s="54"/>
      <c r="G9" s="54"/>
      <c r="H9" s="53"/>
      <c r="I9" s="52"/>
      <c r="J9" s="51"/>
      <c r="K9" s="53"/>
      <c r="L9" s="54"/>
      <c r="M9" s="54"/>
      <c r="N9" s="54"/>
      <c r="O9" s="54"/>
      <c r="P9" s="54"/>
      <c r="Q9" s="82"/>
      <c r="R9" s="51"/>
      <c r="S9" s="53"/>
      <c r="T9" s="54"/>
      <c r="U9" s="54"/>
      <c r="V9" s="54"/>
      <c r="W9" s="54"/>
      <c r="X9" s="54"/>
      <c r="Y9" s="26"/>
    </row>
    <row r="10" spans="1:25" x14ac:dyDescent="0.2">
      <c r="A10" s="17">
        <v>1971</v>
      </c>
      <c r="B10" s="51"/>
      <c r="C10" s="53"/>
      <c r="D10" s="54"/>
      <c r="E10" s="54"/>
      <c r="F10" s="54"/>
      <c r="G10" s="54"/>
      <c r="H10" s="53"/>
      <c r="I10" s="52"/>
      <c r="J10" s="51"/>
      <c r="K10" s="53"/>
      <c r="L10" s="54"/>
      <c r="M10" s="54"/>
      <c r="N10" s="54"/>
      <c r="O10" s="54"/>
      <c r="P10" s="54"/>
      <c r="Q10" s="82"/>
      <c r="R10" s="51"/>
      <c r="S10" s="53"/>
      <c r="T10" s="54"/>
      <c r="U10" s="54"/>
      <c r="V10" s="54"/>
      <c r="W10" s="54"/>
      <c r="X10" s="54"/>
      <c r="Y10" s="26"/>
    </row>
    <row r="11" spans="1:25" x14ac:dyDescent="0.2">
      <c r="A11" s="17">
        <v>1972</v>
      </c>
      <c r="B11" s="51"/>
      <c r="C11" s="53"/>
      <c r="D11" s="54"/>
      <c r="E11" s="54"/>
      <c r="F11" s="54"/>
      <c r="G11" s="54"/>
      <c r="H11" s="53"/>
      <c r="I11" s="52"/>
      <c r="J11" s="51"/>
      <c r="K11" s="53"/>
      <c r="L11" s="54"/>
      <c r="M11" s="54"/>
      <c r="N11" s="54"/>
      <c r="O11" s="54"/>
      <c r="P11" s="54"/>
      <c r="Q11" s="82"/>
      <c r="R11" s="51"/>
      <c r="S11" s="53"/>
      <c r="T11" s="54"/>
      <c r="U11" s="54"/>
      <c r="V11" s="54"/>
      <c r="W11" s="54"/>
      <c r="X11" s="54"/>
      <c r="Y11" s="26"/>
    </row>
    <row r="12" spans="1:25" x14ac:dyDescent="0.2">
      <c r="A12" s="17">
        <v>1973</v>
      </c>
      <c r="B12" s="51"/>
      <c r="C12" s="53"/>
      <c r="D12" s="54"/>
      <c r="E12" s="54"/>
      <c r="F12" s="54"/>
      <c r="G12" s="54"/>
      <c r="H12" s="53"/>
      <c r="I12" s="52"/>
      <c r="J12" s="51"/>
      <c r="K12" s="53"/>
      <c r="L12" s="54"/>
      <c r="M12" s="54"/>
      <c r="N12" s="54"/>
      <c r="O12" s="54"/>
      <c r="P12" s="54"/>
      <c r="Q12" s="82"/>
      <c r="R12" s="51"/>
      <c r="S12" s="53"/>
      <c r="T12" s="54"/>
      <c r="U12" s="54"/>
      <c r="V12" s="54"/>
      <c r="W12" s="54"/>
      <c r="X12" s="54"/>
      <c r="Y12" s="26"/>
    </row>
    <row r="13" spans="1:25" x14ac:dyDescent="0.2">
      <c r="A13" s="17">
        <v>1974</v>
      </c>
      <c r="B13" s="51"/>
      <c r="C13" s="53"/>
      <c r="D13" s="54"/>
      <c r="E13" s="54"/>
      <c r="F13" s="54"/>
      <c r="G13" s="54"/>
      <c r="H13" s="53"/>
      <c r="I13" s="52"/>
      <c r="J13" s="51"/>
      <c r="K13" s="53"/>
      <c r="L13" s="54"/>
      <c r="M13" s="54"/>
      <c r="N13" s="54"/>
      <c r="O13" s="54"/>
      <c r="P13" s="54"/>
      <c r="Q13" s="82"/>
      <c r="R13" s="51"/>
      <c r="S13" s="53"/>
      <c r="T13" s="54"/>
      <c r="U13" s="54"/>
      <c r="V13" s="54"/>
      <c r="W13" s="54"/>
      <c r="X13" s="54"/>
      <c r="Y13" s="26"/>
    </row>
    <row r="14" spans="1:25" x14ac:dyDescent="0.2">
      <c r="A14" s="17">
        <v>1975</v>
      </c>
      <c r="B14" s="51"/>
      <c r="C14" s="53"/>
      <c r="D14" s="54"/>
      <c r="E14" s="54"/>
      <c r="F14" s="54"/>
      <c r="G14" s="54"/>
      <c r="H14" s="53"/>
      <c r="I14" s="52"/>
      <c r="J14" s="51"/>
      <c r="K14" s="53"/>
      <c r="L14" s="54"/>
      <c r="M14" s="54"/>
      <c r="N14" s="54"/>
      <c r="O14" s="54"/>
      <c r="P14" s="54"/>
      <c r="Q14" s="82"/>
      <c r="R14" s="51"/>
      <c r="S14" s="53"/>
      <c r="T14" s="54"/>
      <c r="U14" s="54"/>
      <c r="V14" s="54"/>
      <c r="W14" s="54"/>
      <c r="X14" s="54"/>
      <c r="Y14" s="26"/>
    </row>
    <row r="15" spans="1:25" x14ac:dyDescent="0.2">
      <c r="A15" s="17">
        <v>1976</v>
      </c>
      <c r="B15" s="51"/>
      <c r="C15" s="53"/>
      <c r="D15" s="54"/>
      <c r="E15" s="54"/>
      <c r="F15" s="54"/>
      <c r="G15" s="54"/>
      <c r="H15" s="53"/>
      <c r="I15" s="52"/>
      <c r="J15" s="51"/>
      <c r="K15" s="53"/>
      <c r="L15" s="54"/>
      <c r="M15" s="54"/>
      <c r="N15" s="54"/>
      <c r="O15" s="54"/>
      <c r="P15" s="54"/>
      <c r="Q15" s="82"/>
      <c r="R15" s="51"/>
      <c r="S15" s="53"/>
      <c r="T15" s="54"/>
      <c r="U15" s="54"/>
      <c r="V15" s="54"/>
      <c r="W15" s="54"/>
      <c r="X15" s="54"/>
      <c r="Y15" s="26"/>
    </row>
    <row r="16" spans="1:25" x14ac:dyDescent="0.2">
      <c r="A16" s="17">
        <v>1977</v>
      </c>
      <c r="B16" s="51"/>
      <c r="C16" s="53"/>
      <c r="D16" s="54"/>
      <c r="E16" s="54"/>
      <c r="F16" s="54"/>
      <c r="G16" s="54"/>
      <c r="H16" s="53"/>
      <c r="I16" s="52"/>
      <c r="J16" s="51"/>
      <c r="K16" s="53"/>
      <c r="L16" s="54"/>
      <c r="M16" s="54"/>
      <c r="N16" s="54"/>
      <c r="O16" s="54"/>
      <c r="P16" s="54"/>
      <c r="Q16" s="82"/>
      <c r="R16" s="51"/>
      <c r="S16" s="53"/>
      <c r="T16" s="54"/>
      <c r="U16" s="54"/>
      <c r="V16" s="54"/>
      <c r="W16" s="54"/>
      <c r="X16" s="54"/>
      <c r="Y16" s="26"/>
    </row>
    <row r="17" spans="1:25" x14ac:dyDescent="0.2">
      <c r="A17" s="17">
        <v>1978</v>
      </c>
      <c r="B17" s="51"/>
      <c r="C17" s="53"/>
      <c r="D17" s="54"/>
      <c r="E17" s="54"/>
      <c r="F17" s="54"/>
      <c r="G17" s="54"/>
      <c r="H17" s="53"/>
      <c r="I17" s="52"/>
      <c r="J17" s="51"/>
      <c r="K17" s="53"/>
      <c r="L17" s="54"/>
      <c r="M17" s="54"/>
      <c r="N17" s="54"/>
      <c r="O17" s="54"/>
      <c r="P17" s="54"/>
      <c r="Q17" s="82"/>
      <c r="R17" s="51"/>
      <c r="S17" s="53"/>
      <c r="T17" s="54"/>
      <c r="U17" s="54"/>
      <c r="V17" s="54"/>
      <c r="W17" s="54"/>
      <c r="X17" s="54"/>
      <c r="Y17" s="26"/>
    </row>
    <row r="18" spans="1:25" x14ac:dyDescent="0.2">
      <c r="A18" s="17">
        <v>1979</v>
      </c>
      <c r="B18" s="51"/>
      <c r="C18" s="53"/>
      <c r="D18" s="54"/>
      <c r="E18" s="54"/>
      <c r="F18" s="54"/>
      <c r="G18" s="54"/>
      <c r="H18" s="53"/>
      <c r="I18" s="52"/>
      <c r="J18" s="51"/>
      <c r="K18" s="53"/>
      <c r="L18" s="54"/>
      <c r="M18" s="54"/>
      <c r="N18" s="54"/>
      <c r="O18" s="54"/>
      <c r="P18" s="54"/>
      <c r="Q18" s="82"/>
      <c r="R18" s="51"/>
      <c r="S18" s="53"/>
      <c r="T18" s="54"/>
      <c r="U18" s="54"/>
      <c r="V18" s="54"/>
      <c r="W18" s="54"/>
      <c r="X18" s="54"/>
      <c r="Y18" s="26"/>
    </row>
    <row r="19" spans="1:25" x14ac:dyDescent="0.2">
      <c r="A19" s="17">
        <v>1980</v>
      </c>
      <c r="B19" s="51"/>
      <c r="C19" s="53"/>
      <c r="D19" s="54"/>
      <c r="E19" s="54"/>
      <c r="F19" s="54"/>
      <c r="G19" s="54"/>
      <c r="H19" s="53"/>
      <c r="I19" s="52"/>
      <c r="J19" s="51"/>
      <c r="K19" s="53"/>
      <c r="L19" s="54"/>
      <c r="M19" s="54"/>
      <c r="N19" s="54"/>
      <c r="O19" s="54"/>
      <c r="P19" s="54"/>
      <c r="Q19" s="82"/>
      <c r="R19" s="51"/>
      <c r="S19" s="53"/>
      <c r="T19" s="54"/>
      <c r="U19" s="54"/>
      <c r="V19" s="54"/>
      <c r="W19" s="54"/>
      <c r="X19" s="54"/>
      <c r="Y19" s="26"/>
    </row>
    <row r="20" spans="1:25" x14ac:dyDescent="0.2">
      <c r="A20" s="17">
        <v>1981</v>
      </c>
      <c r="B20" s="51"/>
      <c r="C20" s="53"/>
      <c r="D20" s="54"/>
      <c r="E20" s="54"/>
      <c r="F20" s="54"/>
      <c r="G20" s="54"/>
      <c r="H20" s="53"/>
      <c r="I20" s="52"/>
      <c r="J20" s="51"/>
      <c r="K20" s="53"/>
      <c r="L20" s="54"/>
      <c r="M20" s="54"/>
      <c r="N20" s="54"/>
      <c r="O20" s="54"/>
      <c r="P20" s="54"/>
      <c r="Q20" s="82"/>
      <c r="R20" s="51"/>
      <c r="S20" s="53"/>
      <c r="T20" s="54"/>
      <c r="U20" s="54"/>
      <c r="V20" s="54"/>
      <c r="W20" s="54"/>
      <c r="X20" s="54"/>
      <c r="Y20" s="26"/>
    </row>
    <row r="21" spans="1:25" x14ac:dyDescent="0.2">
      <c r="A21" s="17">
        <v>1982</v>
      </c>
      <c r="B21" s="51"/>
      <c r="C21" s="53"/>
      <c r="D21" s="54"/>
      <c r="E21" s="54"/>
      <c r="F21" s="54"/>
      <c r="G21" s="54"/>
      <c r="H21" s="53"/>
      <c r="I21" s="52"/>
      <c r="J21" s="51"/>
      <c r="K21" s="53"/>
      <c r="L21" s="54"/>
      <c r="M21" s="54"/>
      <c r="N21" s="54"/>
      <c r="O21" s="54"/>
      <c r="P21" s="54"/>
      <c r="Q21" s="82"/>
      <c r="R21" s="51"/>
      <c r="S21" s="53"/>
      <c r="T21" s="54"/>
      <c r="U21" s="54"/>
      <c r="V21" s="54"/>
      <c r="W21" s="54"/>
      <c r="X21" s="54"/>
      <c r="Y21" s="26"/>
    </row>
    <row r="22" spans="1:25" x14ac:dyDescent="0.2">
      <c r="A22" s="17">
        <v>1983</v>
      </c>
      <c r="B22" s="51"/>
      <c r="C22" s="53"/>
      <c r="D22" s="54"/>
      <c r="E22" s="54"/>
      <c r="F22" s="54"/>
      <c r="G22" s="54"/>
      <c r="H22" s="53"/>
      <c r="I22" s="52"/>
      <c r="J22" s="51"/>
      <c r="K22" s="53"/>
      <c r="L22" s="54"/>
      <c r="M22" s="54"/>
      <c r="N22" s="54"/>
      <c r="O22" s="54"/>
      <c r="P22" s="54"/>
      <c r="Q22" s="82"/>
      <c r="R22" s="51"/>
      <c r="S22" s="53"/>
      <c r="T22" s="54"/>
      <c r="U22" s="54"/>
      <c r="V22" s="54"/>
      <c r="W22" s="54"/>
      <c r="X22" s="54"/>
      <c r="Y22" s="26"/>
    </row>
    <row r="23" spans="1:25" x14ac:dyDescent="0.2">
      <c r="A23" s="17">
        <v>1984</v>
      </c>
      <c r="B23" s="51"/>
      <c r="C23" s="53"/>
      <c r="D23" s="54"/>
      <c r="E23" s="54"/>
      <c r="F23" s="54"/>
      <c r="G23" s="54"/>
      <c r="H23" s="53"/>
      <c r="I23" s="52"/>
      <c r="J23" s="51"/>
      <c r="K23" s="53"/>
      <c r="L23" s="54"/>
      <c r="M23" s="54"/>
      <c r="N23" s="54"/>
      <c r="O23" s="54"/>
      <c r="P23" s="54"/>
      <c r="Q23" s="82"/>
      <c r="R23" s="51"/>
      <c r="S23" s="53"/>
      <c r="T23" s="54"/>
      <c r="U23" s="54"/>
      <c r="V23" s="54"/>
      <c r="W23" s="54"/>
      <c r="X23" s="54"/>
      <c r="Y23" s="26"/>
    </row>
    <row r="24" spans="1:25" x14ac:dyDescent="0.2">
      <c r="A24" s="17">
        <v>1985</v>
      </c>
      <c r="B24" s="51"/>
      <c r="C24" s="53"/>
      <c r="D24" s="54"/>
      <c r="E24" s="54"/>
      <c r="F24" s="54"/>
      <c r="G24" s="54"/>
      <c r="H24" s="53"/>
      <c r="I24" s="52"/>
      <c r="J24" s="51"/>
      <c r="K24" s="53"/>
      <c r="L24" s="54"/>
      <c r="M24" s="54"/>
      <c r="N24" s="54"/>
      <c r="O24" s="54"/>
      <c r="P24" s="54"/>
      <c r="Q24" s="82"/>
      <c r="R24" s="51"/>
      <c r="S24" s="53"/>
      <c r="T24" s="54"/>
      <c r="U24" s="54"/>
      <c r="V24" s="54"/>
      <c r="W24" s="54"/>
      <c r="X24" s="54"/>
      <c r="Y24" s="26"/>
    </row>
    <row r="25" spans="1:25" x14ac:dyDescent="0.2">
      <c r="A25" s="17">
        <v>1986</v>
      </c>
      <c r="B25" s="51"/>
      <c r="C25" s="53"/>
      <c r="D25" s="54"/>
      <c r="E25" s="54"/>
      <c r="F25" s="54"/>
      <c r="G25" s="54"/>
      <c r="H25" s="53"/>
      <c r="I25" s="52"/>
      <c r="J25" s="51"/>
      <c r="K25" s="53"/>
      <c r="L25" s="54"/>
      <c r="M25" s="54"/>
      <c r="N25" s="54"/>
      <c r="O25" s="54"/>
      <c r="P25" s="54"/>
      <c r="Q25" s="82"/>
      <c r="R25" s="51"/>
      <c r="S25" s="53"/>
      <c r="T25" s="54"/>
      <c r="U25" s="54"/>
      <c r="V25" s="54"/>
      <c r="W25" s="54"/>
      <c r="X25" s="54"/>
      <c r="Y25" s="26"/>
    </row>
    <row r="26" spans="1:25" x14ac:dyDescent="0.2">
      <c r="A26" s="17">
        <v>1987</v>
      </c>
      <c r="B26" s="51"/>
      <c r="C26" s="53"/>
      <c r="D26" s="54"/>
      <c r="E26" s="54"/>
      <c r="F26" s="54"/>
      <c r="G26" s="54"/>
      <c r="H26" s="53"/>
      <c r="I26" s="52"/>
      <c r="J26" s="51"/>
      <c r="K26" s="53"/>
      <c r="L26" s="54"/>
      <c r="M26" s="54"/>
      <c r="N26" s="54"/>
      <c r="O26" s="54"/>
      <c r="P26" s="54"/>
      <c r="Q26" s="82"/>
      <c r="R26" s="51"/>
      <c r="S26" s="53"/>
      <c r="T26" s="54"/>
      <c r="U26" s="54"/>
      <c r="V26" s="54"/>
      <c r="W26" s="54"/>
      <c r="X26" s="54"/>
      <c r="Y26" s="26"/>
    </row>
    <row r="27" spans="1:25" x14ac:dyDescent="0.2">
      <c r="A27" s="17">
        <v>1988</v>
      </c>
      <c r="B27" s="51"/>
      <c r="C27" s="53"/>
      <c r="D27" s="54"/>
      <c r="E27" s="54"/>
      <c r="F27" s="54"/>
      <c r="G27" s="54"/>
      <c r="H27" s="53"/>
      <c r="I27" s="52"/>
      <c r="J27" s="51"/>
      <c r="K27" s="53"/>
      <c r="L27" s="54"/>
      <c r="M27" s="54"/>
      <c r="N27" s="54"/>
      <c r="O27" s="54"/>
      <c r="P27" s="54"/>
      <c r="Q27" s="82"/>
      <c r="R27" s="51"/>
      <c r="S27" s="53"/>
      <c r="T27" s="54"/>
      <c r="U27" s="54"/>
      <c r="V27" s="54"/>
      <c r="W27" s="54"/>
      <c r="X27" s="54"/>
      <c r="Y27" s="26"/>
    </row>
    <row r="28" spans="1:25" x14ac:dyDescent="0.2">
      <c r="A28" s="17">
        <v>1989</v>
      </c>
      <c r="B28" s="51"/>
      <c r="C28" s="53"/>
      <c r="D28" s="54"/>
      <c r="E28" s="54"/>
      <c r="F28" s="54"/>
      <c r="G28" s="54"/>
      <c r="H28" s="53"/>
      <c r="I28" s="52"/>
      <c r="J28" s="51"/>
      <c r="K28" s="53"/>
      <c r="L28" s="54"/>
      <c r="M28" s="54"/>
      <c r="N28" s="54"/>
      <c r="O28" s="54"/>
      <c r="P28" s="54"/>
      <c r="Q28" s="82"/>
      <c r="R28" s="51"/>
      <c r="S28" s="53"/>
      <c r="T28" s="54"/>
      <c r="U28" s="54"/>
      <c r="V28" s="54"/>
      <c r="W28" s="54"/>
      <c r="X28" s="54"/>
      <c r="Y28" s="26"/>
    </row>
    <row r="29" spans="1:25" x14ac:dyDescent="0.2">
      <c r="A29" s="17">
        <v>1990</v>
      </c>
      <c r="B29" s="51"/>
      <c r="C29" s="53"/>
      <c r="D29" s="54"/>
      <c r="E29" s="54"/>
      <c r="F29" s="54"/>
      <c r="G29" s="54"/>
      <c r="H29" s="53"/>
      <c r="I29" s="52"/>
      <c r="J29" s="51">
        <f>L29+M29</f>
        <v>2</v>
      </c>
      <c r="K29" s="53">
        <f>K28+J29</f>
        <v>2</v>
      </c>
      <c r="L29" s="54">
        <v>1</v>
      </c>
      <c r="M29" s="54">
        <v>1</v>
      </c>
      <c r="N29" s="54"/>
      <c r="O29" s="54">
        <f>O28+L29</f>
        <v>1</v>
      </c>
      <c r="P29" s="54">
        <f>P28+M29</f>
        <v>1</v>
      </c>
      <c r="Q29" s="82"/>
      <c r="R29" s="51">
        <f>B29+J29</f>
        <v>2</v>
      </c>
      <c r="S29" s="53">
        <f>C29+K29</f>
        <v>2</v>
      </c>
      <c r="T29" s="54">
        <f>D29+L29</f>
        <v>1</v>
      </c>
      <c r="U29" s="54">
        <f>E29+M29</f>
        <v>1</v>
      </c>
      <c r="V29" s="54"/>
      <c r="W29" s="54">
        <f>W28+T29</f>
        <v>1</v>
      </c>
      <c r="X29" s="54">
        <f>X28+U29</f>
        <v>1</v>
      </c>
      <c r="Y29" s="26"/>
    </row>
    <row r="30" spans="1:25" x14ac:dyDescent="0.2">
      <c r="A30" s="17">
        <v>1991</v>
      </c>
      <c r="B30" s="51">
        <f>D30+E30</f>
        <v>4</v>
      </c>
      <c r="C30" s="53">
        <f>C29+B30</f>
        <v>4</v>
      </c>
      <c r="D30" s="54">
        <v>3</v>
      </c>
      <c r="E30" s="54">
        <v>1</v>
      </c>
      <c r="F30" s="54"/>
      <c r="G30" s="54">
        <f>G29+D30</f>
        <v>3</v>
      </c>
      <c r="H30" s="53">
        <f>H29+E30</f>
        <v>1</v>
      </c>
      <c r="I30" s="52"/>
      <c r="J30" s="51">
        <f t="shared" ref="J30:J43" si="0">L30+M30</f>
        <v>4</v>
      </c>
      <c r="K30" s="53">
        <f t="shared" ref="K30:K43" si="1">K29+J30</f>
        <v>6</v>
      </c>
      <c r="L30" s="54">
        <v>2</v>
      </c>
      <c r="M30" s="54">
        <v>2</v>
      </c>
      <c r="N30" s="54"/>
      <c r="O30" s="54">
        <f t="shared" ref="O30:O43" si="2">O29+L30</f>
        <v>3</v>
      </c>
      <c r="P30" s="54">
        <f t="shared" ref="P30:P43" si="3">P29+M30</f>
        <v>3</v>
      </c>
      <c r="Q30" s="82"/>
      <c r="R30" s="51">
        <f>B30+J30</f>
        <v>8</v>
      </c>
      <c r="S30" s="53">
        <f t="shared" ref="S30:S43" si="4">C30+K30</f>
        <v>10</v>
      </c>
      <c r="T30" s="54">
        <f t="shared" ref="T30:T43" si="5">D30+L30</f>
        <v>5</v>
      </c>
      <c r="U30" s="54">
        <f t="shared" ref="U30:U43" si="6">E30+M30</f>
        <v>3</v>
      </c>
      <c r="V30" s="54"/>
      <c r="W30" s="54">
        <f t="shared" ref="W30:W43" si="7">W29+T30</f>
        <v>6</v>
      </c>
      <c r="X30" s="54">
        <f t="shared" ref="X30:X43" si="8">X29+U30</f>
        <v>4</v>
      </c>
      <c r="Y30" s="26"/>
    </row>
    <row r="31" spans="1:25" x14ac:dyDescent="0.2">
      <c r="A31" s="17">
        <v>1992</v>
      </c>
      <c r="B31" s="51">
        <f t="shared" ref="B31:B43" si="9">D31+E31</f>
        <v>12</v>
      </c>
      <c r="C31" s="53">
        <f t="shared" ref="C31:C43" si="10">C30+B31</f>
        <v>16</v>
      </c>
      <c r="D31" s="54">
        <v>8</v>
      </c>
      <c r="E31" s="54">
        <v>4</v>
      </c>
      <c r="F31" s="54"/>
      <c r="G31" s="54">
        <f t="shared" ref="G31:G43" si="11">G30+D31</f>
        <v>11</v>
      </c>
      <c r="H31" s="53">
        <f t="shared" ref="H31:H43" si="12">H30+E31</f>
        <v>5</v>
      </c>
      <c r="I31" s="52"/>
      <c r="J31" s="51">
        <f t="shared" si="0"/>
        <v>10</v>
      </c>
      <c r="K31" s="53">
        <f t="shared" si="1"/>
        <v>16</v>
      </c>
      <c r="L31" s="54">
        <v>5</v>
      </c>
      <c r="M31" s="54">
        <v>5</v>
      </c>
      <c r="N31" s="54"/>
      <c r="O31" s="54">
        <f t="shared" si="2"/>
        <v>8</v>
      </c>
      <c r="P31" s="54">
        <f t="shared" si="3"/>
        <v>8</v>
      </c>
      <c r="Q31" s="82"/>
      <c r="R31" s="51">
        <f t="shared" ref="R31:R43" si="13">B31+J31</f>
        <v>22</v>
      </c>
      <c r="S31" s="53">
        <f t="shared" si="4"/>
        <v>32</v>
      </c>
      <c r="T31" s="54">
        <f t="shared" si="5"/>
        <v>13</v>
      </c>
      <c r="U31" s="54">
        <f t="shared" si="6"/>
        <v>9</v>
      </c>
      <c r="V31" s="54"/>
      <c r="W31" s="54">
        <f t="shared" si="7"/>
        <v>19</v>
      </c>
      <c r="X31" s="54">
        <f t="shared" si="8"/>
        <v>13</v>
      </c>
      <c r="Y31" s="26"/>
    </row>
    <row r="32" spans="1:25" x14ac:dyDescent="0.2">
      <c r="A32" s="17">
        <v>1993</v>
      </c>
      <c r="B32" s="51">
        <f t="shared" si="9"/>
        <v>14</v>
      </c>
      <c r="C32" s="53">
        <f t="shared" si="10"/>
        <v>30</v>
      </c>
      <c r="D32" s="54">
        <v>10</v>
      </c>
      <c r="E32" s="54">
        <v>4</v>
      </c>
      <c r="F32" s="54"/>
      <c r="G32" s="54">
        <f t="shared" si="11"/>
        <v>21</v>
      </c>
      <c r="H32" s="53">
        <f t="shared" si="12"/>
        <v>9</v>
      </c>
      <c r="I32" s="52"/>
      <c r="J32" s="51">
        <f t="shared" si="0"/>
        <v>5</v>
      </c>
      <c r="K32" s="53">
        <f t="shared" si="1"/>
        <v>21</v>
      </c>
      <c r="L32" s="54">
        <v>3</v>
      </c>
      <c r="M32" s="54">
        <v>2</v>
      </c>
      <c r="N32" s="54"/>
      <c r="O32" s="54">
        <f t="shared" si="2"/>
        <v>11</v>
      </c>
      <c r="P32" s="54">
        <f t="shared" si="3"/>
        <v>10</v>
      </c>
      <c r="Q32" s="82"/>
      <c r="R32" s="51">
        <f t="shared" si="13"/>
        <v>19</v>
      </c>
      <c r="S32" s="53">
        <f t="shared" si="4"/>
        <v>51</v>
      </c>
      <c r="T32" s="54">
        <f t="shared" si="5"/>
        <v>13</v>
      </c>
      <c r="U32" s="54">
        <f t="shared" si="6"/>
        <v>6</v>
      </c>
      <c r="V32" s="54"/>
      <c r="W32" s="54">
        <f t="shared" si="7"/>
        <v>32</v>
      </c>
      <c r="X32" s="54">
        <f t="shared" si="8"/>
        <v>19</v>
      </c>
      <c r="Y32" s="26"/>
    </row>
    <row r="33" spans="1:25" x14ac:dyDescent="0.2">
      <c r="A33" s="17">
        <v>1994</v>
      </c>
      <c r="B33" s="51">
        <f t="shared" si="9"/>
        <v>16</v>
      </c>
      <c r="C33" s="53">
        <f t="shared" si="10"/>
        <v>46</v>
      </c>
      <c r="D33" s="54">
        <v>13</v>
      </c>
      <c r="E33" s="54">
        <v>3</v>
      </c>
      <c r="F33" s="54"/>
      <c r="G33" s="54">
        <f t="shared" si="11"/>
        <v>34</v>
      </c>
      <c r="H33" s="53">
        <f t="shared" si="12"/>
        <v>12</v>
      </c>
      <c r="I33" s="52"/>
      <c r="J33" s="51">
        <f t="shared" si="0"/>
        <v>11</v>
      </c>
      <c r="K33" s="53">
        <f t="shared" si="1"/>
        <v>32</v>
      </c>
      <c r="L33" s="54">
        <v>2</v>
      </c>
      <c r="M33" s="54">
        <v>9</v>
      </c>
      <c r="N33" s="54"/>
      <c r="O33" s="54">
        <f t="shared" si="2"/>
        <v>13</v>
      </c>
      <c r="P33" s="54">
        <f t="shared" si="3"/>
        <v>19</v>
      </c>
      <c r="Q33" s="82"/>
      <c r="R33" s="51">
        <f t="shared" si="13"/>
        <v>27</v>
      </c>
      <c r="S33" s="53">
        <f t="shared" si="4"/>
        <v>78</v>
      </c>
      <c r="T33" s="54">
        <f t="shared" si="5"/>
        <v>15</v>
      </c>
      <c r="U33" s="54">
        <f t="shared" si="6"/>
        <v>12</v>
      </c>
      <c r="V33" s="54"/>
      <c r="W33" s="54">
        <f t="shared" si="7"/>
        <v>47</v>
      </c>
      <c r="X33" s="54">
        <f t="shared" si="8"/>
        <v>31</v>
      </c>
      <c r="Y33" s="26"/>
    </row>
    <row r="34" spans="1:25" x14ac:dyDescent="0.2">
      <c r="A34" s="17">
        <v>1995</v>
      </c>
      <c r="B34" s="51">
        <f t="shared" si="9"/>
        <v>13</v>
      </c>
      <c r="C34" s="53">
        <f t="shared" si="10"/>
        <v>59</v>
      </c>
      <c r="D34" s="54">
        <v>8</v>
      </c>
      <c r="E34" s="54">
        <v>5</v>
      </c>
      <c r="F34" s="54"/>
      <c r="G34" s="54">
        <f t="shared" si="11"/>
        <v>42</v>
      </c>
      <c r="H34" s="53">
        <f t="shared" si="12"/>
        <v>17</v>
      </c>
      <c r="I34" s="52"/>
      <c r="J34" s="51">
        <f t="shared" si="0"/>
        <v>6</v>
      </c>
      <c r="K34" s="53">
        <f t="shared" si="1"/>
        <v>38</v>
      </c>
      <c r="L34" s="54">
        <v>1</v>
      </c>
      <c r="M34" s="54">
        <v>5</v>
      </c>
      <c r="N34" s="54"/>
      <c r="O34" s="54">
        <f t="shared" si="2"/>
        <v>14</v>
      </c>
      <c r="P34" s="54">
        <f t="shared" si="3"/>
        <v>24</v>
      </c>
      <c r="Q34" s="82"/>
      <c r="R34" s="51">
        <f t="shared" si="13"/>
        <v>19</v>
      </c>
      <c r="S34" s="53">
        <f t="shared" si="4"/>
        <v>97</v>
      </c>
      <c r="T34" s="54">
        <f t="shared" si="5"/>
        <v>9</v>
      </c>
      <c r="U34" s="54">
        <f t="shared" si="6"/>
        <v>10</v>
      </c>
      <c r="V34" s="54"/>
      <c r="W34" s="54">
        <f t="shared" si="7"/>
        <v>56</v>
      </c>
      <c r="X34" s="54">
        <f t="shared" si="8"/>
        <v>41</v>
      </c>
      <c r="Y34" s="26"/>
    </row>
    <row r="35" spans="1:25" x14ac:dyDescent="0.2">
      <c r="A35" s="17">
        <v>1996</v>
      </c>
      <c r="B35" s="51">
        <f t="shared" si="9"/>
        <v>17</v>
      </c>
      <c r="C35" s="53">
        <f t="shared" si="10"/>
        <v>76</v>
      </c>
      <c r="D35" s="54">
        <v>10</v>
      </c>
      <c r="E35" s="54">
        <v>7</v>
      </c>
      <c r="F35" s="54"/>
      <c r="G35" s="54">
        <f t="shared" si="11"/>
        <v>52</v>
      </c>
      <c r="H35" s="53">
        <f t="shared" si="12"/>
        <v>24</v>
      </c>
      <c r="I35" s="52"/>
      <c r="J35" s="51">
        <f t="shared" si="0"/>
        <v>6</v>
      </c>
      <c r="K35" s="53">
        <f t="shared" si="1"/>
        <v>44</v>
      </c>
      <c r="L35" s="54">
        <v>1</v>
      </c>
      <c r="M35" s="54">
        <v>5</v>
      </c>
      <c r="N35" s="54"/>
      <c r="O35" s="54">
        <f t="shared" si="2"/>
        <v>15</v>
      </c>
      <c r="P35" s="54">
        <f t="shared" si="3"/>
        <v>29</v>
      </c>
      <c r="Q35" s="82"/>
      <c r="R35" s="51">
        <f t="shared" si="13"/>
        <v>23</v>
      </c>
      <c r="S35" s="53">
        <f t="shared" si="4"/>
        <v>120</v>
      </c>
      <c r="T35" s="54">
        <f t="shared" si="5"/>
        <v>11</v>
      </c>
      <c r="U35" s="54">
        <f t="shared" si="6"/>
        <v>12</v>
      </c>
      <c r="V35" s="54"/>
      <c r="W35" s="54">
        <f t="shared" si="7"/>
        <v>67</v>
      </c>
      <c r="X35" s="54">
        <f t="shared" si="8"/>
        <v>53</v>
      </c>
      <c r="Y35" s="26"/>
    </row>
    <row r="36" spans="1:25" x14ac:dyDescent="0.2">
      <c r="A36" s="17">
        <v>1997</v>
      </c>
      <c r="B36" s="51">
        <f t="shared" si="9"/>
        <v>12</v>
      </c>
      <c r="C36" s="53">
        <f t="shared" si="10"/>
        <v>88</v>
      </c>
      <c r="D36" s="54">
        <v>3</v>
      </c>
      <c r="E36" s="54">
        <v>9</v>
      </c>
      <c r="F36" s="54"/>
      <c r="G36" s="54">
        <f t="shared" si="11"/>
        <v>55</v>
      </c>
      <c r="H36" s="53">
        <f t="shared" si="12"/>
        <v>33</v>
      </c>
      <c r="I36" s="52"/>
      <c r="J36" s="51">
        <f t="shared" si="0"/>
        <v>5</v>
      </c>
      <c r="K36" s="53">
        <f t="shared" si="1"/>
        <v>49</v>
      </c>
      <c r="L36" s="54">
        <v>2</v>
      </c>
      <c r="M36" s="54">
        <v>3</v>
      </c>
      <c r="N36" s="54"/>
      <c r="O36" s="54">
        <f t="shared" si="2"/>
        <v>17</v>
      </c>
      <c r="P36" s="54">
        <f t="shared" si="3"/>
        <v>32</v>
      </c>
      <c r="Q36" s="82"/>
      <c r="R36" s="51">
        <f t="shared" si="13"/>
        <v>17</v>
      </c>
      <c r="S36" s="53">
        <f t="shared" si="4"/>
        <v>137</v>
      </c>
      <c r="T36" s="54">
        <f t="shared" si="5"/>
        <v>5</v>
      </c>
      <c r="U36" s="54">
        <f t="shared" si="6"/>
        <v>12</v>
      </c>
      <c r="V36" s="54"/>
      <c r="W36" s="54">
        <f t="shared" si="7"/>
        <v>72</v>
      </c>
      <c r="X36" s="54">
        <f t="shared" si="8"/>
        <v>65</v>
      </c>
      <c r="Y36" s="26"/>
    </row>
    <row r="37" spans="1:25" x14ac:dyDescent="0.2">
      <c r="A37" s="17">
        <v>1998</v>
      </c>
      <c r="B37" s="51">
        <f t="shared" si="9"/>
        <v>23</v>
      </c>
      <c r="C37" s="53">
        <f t="shared" si="10"/>
        <v>111</v>
      </c>
      <c r="D37" s="54">
        <v>16</v>
      </c>
      <c r="E37" s="54">
        <v>7</v>
      </c>
      <c r="F37" s="54"/>
      <c r="G37" s="54">
        <f t="shared" si="11"/>
        <v>71</v>
      </c>
      <c r="H37" s="53">
        <f t="shared" si="12"/>
        <v>40</v>
      </c>
      <c r="I37" s="52"/>
      <c r="J37" s="51">
        <f t="shared" si="0"/>
        <v>10</v>
      </c>
      <c r="K37" s="53">
        <f t="shared" si="1"/>
        <v>59</v>
      </c>
      <c r="L37" s="54">
        <v>4</v>
      </c>
      <c r="M37" s="54">
        <v>6</v>
      </c>
      <c r="N37" s="54"/>
      <c r="O37" s="54">
        <f t="shared" si="2"/>
        <v>21</v>
      </c>
      <c r="P37" s="54">
        <f t="shared" si="3"/>
        <v>38</v>
      </c>
      <c r="Q37" s="82"/>
      <c r="R37" s="51">
        <f t="shared" si="13"/>
        <v>33</v>
      </c>
      <c r="S37" s="53">
        <f t="shared" si="4"/>
        <v>170</v>
      </c>
      <c r="T37" s="54">
        <f t="shared" si="5"/>
        <v>20</v>
      </c>
      <c r="U37" s="54">
        <f t="shared" si="6"/>
        <v>13</v>
      </c>
      <c r="V37" s="54"/>
      <c r="W37" s="54">
        <f t="shared" si="7"/>
        <v>92</v>
      </c>
      <c r="X37" s="54">
        <f t="shared" si="8"/>
        <v>78</v>
      </c>
      <c r="Y37" s="26"/>
    </row>
    <row r="38" spans="1:25" x14ac:dyDescent="0.2">
      <c r="A38" s="18">
        <v>1999</v>
      </c>
      <c r="B38" s="55">
        <f t="shared" si="9"/>
        <v>15</v>
      </c>
      <c r="C38" s="57">
        <f t="shared" si="10"/>
        <v>126</v>
      </c>
      <c r="D38" s="58">
        <v>8</v>
      </c>
      <c r="E38" s="58">
        <v>7</v>
      </c>
      <c r="F38" s="58"/>
      <c r="G38" s="58">
        <f t="shared" si="11"/>
        <v>79</v>
      </c>
      <c r="H38" s="57">
        <f t="shared" si="12"/>
        <v>47</v>
      </c>
      <c r="I38" s="56"/>
      <c r="J38" s="55">
        <f t="shared" si="0"/>
        <v>11</v>
      </c>
      <c r="K38" s="57">
        <f t="shared" si="1"/>
        <v>70</v>
      </c>
      <c r="L38" s="58">
        <v>6</v>
      </c>
      <c r="M38" s="58">
        <v>5</v>
      </c>
      <c r="N38" s="58"/>
      <c r="O38" s="58">
        <f t="shared" si="2"/>
        <v>27</v>
      </c>
      <c r="P38" s="58">
        <f t="shared" si="3"/>
        <v>43</v>
      </c>
      <c r="Q38" s="83"/>
      <c r="R38" s="55">
        <f t="shared" si="13"/>
        <v>26</v>
      </c>
      <c r="S38" s="57">
        <f t="shared" si="4"/>
        <v>196</v>
      </c>
      <c r="T38" s="58">
        <f t="shared" si="5"/>
        <v>14</v>
      </c>
      <c r="U38" s="58">
        <f t="shared" si="6"/>
        <v>12</v>
      </c>
      <c r="V38" s="58"/>
      <c r="W38" s="58">
        <f t="shared" si="7"/>
        <v>106</v>
      </c>
      <c r="X38" s="58">
        <f t="shared" si="8"/>
        <v>90</v>
      </c>
      <c r="Y38" s="28"/>
    </row>
    <row r="39" spans="1:25" s="7" customFormat="1" ht="18.75" customHeight="1" x14ac:dyDescent="0.2">
      <c r="A39" s="17">
        <v>2000</v>
      </c>
      <c r="B39" s="51">
        <f t="shared" si="9"/>
        <v>14</v>
      </c>
      <c r="C39" s="53">
        <f t="shared" si="10"/>
        <v>140</v>
      </c>
      <c r="D39" s="54">
        <v>12</v>
      </c>
      <c r="E39" s="54">
        <v>2</v>
      </c>
      <c r="F39" s="54"/>
      <c r="G39" s="54">
        <f t="shared" si="11"/>
        <v>91</v>
      </c>
      <c r="H39" s="53">
        <f t="shared" si="12"/>
        <v>49</v>
      </c>
      <c r="I39" s="52"/>
      <c r="J39" s="51">
        <f t="shared" si="0"/>
        <v>15</v>
      </c>
      <c r="K39" s="53">
        <f t="shared" si="1"/>
        <v>85</v>
      </c>
      <c r="L39" s="54">
        <v>8</v>
      </c>
      <c r="M39" s="54">
        <v>7</v>
      </c>
      <c r="N39" s="54"/>
      <c r="O39" s="54">
        <f t="shared" si="2"/>
        <v>35</v>
      </c>
      <c r="P39" s="54">
        <f t="shared" si="3"/>
        <v>50</v>
      </c>
      <c r="Q39" s="82"/>
      <c r="R39" s="51">
        <f t="shared" si="13"/>
        <v>29</v>
      </c>
      <c r="S39" s="53">
        <f t="shared" si="4"/>
        <v>225</v>
      </c>
      <c r="T39" s="54">
        <f t="shared" si="5"/>
        <v>20</v>
      </c>
      <c r="U39" s="54">
        <f t="shared" si="6"/>
        <v>9</v>
      </c>
      <c r="V39" s="54"/>
      <c r="W39" s="54">
        <f t="shared" si="7"/>
        <v>126</v>
      </c>
      <c r="X39" s="54">
        <f t="shared" si="8"/>
        <v>99</v>
      </c>
      <c r="Y39" s="26"/>
    </row>
    <row r="40" spans="1:25" x14ac:dyDescent="0.2">
      <c r="A40" s="17">
        <v>2001</v>
      </c>
      <c r="B40" s="51">
        <f t="shared" si="9"/>
        <v>13</v>
      </c>
      <c r="C40" s="53">
        <f t="shared" si="10"/>
        <v>153</v>
      </c>
      <c r="D40" s="54">
        <v>9</v>
      </c>
      <c r="E40" s="54">
        <v>4</v>
      </c>
      <c r="F40" s="54"/>
      <c r="G40" s="54">
        <f t="shared" si="11"/>
        <v>100</v>
      </c>
      <c r="H40" s="53">
        <f t="shared" si="12"/>
        <v>53</v>
      </c>
      <c r="I40" s="52"/>
      <c r="J40" s="51">
        <f t="shared" si="0"/>
        <v>7</v>
      </c>
      <c r="K40" s="53">
        <f t="shared" si="1"/>
        <v>92</v>
      </c>
      <c r="L40" s="54">
        <v>4</v>
      </c>
      <c r="M40" s="54">
        <v>3</v>
      </c>
      <c r="N40" s="54"/>
      <c r="O40" s="54">
        <f t="shared" si="2"/>
        <v>39</v>
      </c>
      <c r="P40" s="54">
        <f t="shared" si="3"/>
        <v>53</v>
      </c>
      <c r="Q40" s="82"/>
      <c r="R40" s="51">
        <f t="shared" si="13"/>
        <v>20</v>
      </c>
      <c r="S40" s="53">
        <f t="shared" si="4"/>
        <v>245</v>
      </c>
      <c r="T40" s="54">
        <f t="shared" si="5"/>
        <v>13</v>
      </c>
      <c r="U40" s="54">
        <f t="shared" si="6"/>
        <v>7</v>
      </c>
      <c r="V40" s="54"/>
      <c r="W40" s="54">
        <f t="shared" si="7"/>
        <v>139</v>
      </c>
      <c r="X40" s="54">
        <f t="shared" si="8"/>
        <v>106</v>
      </c>
      <c r="Y40" s="26"/>
    </row>
    <row r="41" spans="1:25" x14ac:dyDescent="0.2">
      <c r="A41" s="17">
        <v>2002</v>
      </c>
      <c r="B41" s="51">
        <f t="shared" si="9"/>
        <v>24</v>
      </c>
      <c r="C41" s="53">
        <f t="shared" si="10"/>
        <v>177</v>
      </c>
      <c r="D41" s="54">
        <v>20</v>
      </c>
      <c r="E41" s="54">
        <v>4</v>
      </c>
      <c r="F41" s="54"/>
      <c r="G41" s="54">
        <f t="shared" si="11"/>
        <v>120</v>
      </c>
      <c r="H41" s="53">
        <f t="shared" si="12"/>
        <v>57</v>
      </c>
      <c r="I41" s="52"/>
      <c r="J41" s="51">
        <f t="shared" si="0"/>
        <v>26</v>
      </c>
      <c r="K41" s="53">
        <f t="shared" si="1"/>
        <v>118</v>
      </c>
      <c r="L41" s="54">
        <v>17</v>
      </c>
      <c r="M41" s="54">
        <v>9</v>
      </c>
      <c r="N41" s="54"/>
      <c r="O41" s="54">
        <f t="shared" si="2"/>
        <v>56</v>
      </c>
      <c r="P41" s="54">
        <f t="shared" si="3"/>
        <v>62</v>
      </c>
      <c r="Q41" s="82"/>
      <c r="R41" s="51">
        <f t="shared" si="13"/>
        <v>50</v>
      </c>
      <c r="S41" s="53">
        <f t="shared" si="4"/>
        <v>295</v>
      </c>
      <c r="T41" s="54">
        <f t="shared" si="5"/>
        <v>37</v>
      </c>
      <c r="U41" s="54">
        <f t="shared" si="6"/>
        <v>13</v>
      </c>
      <c r="V41" s="54"/>
      <c r="W41" s="54">
        <f t="shared" si="7"/>
        <v>176</v>
      </c>
      <c r="X41" s="54">
        <f t="shared" si="8"/>
        <v>119</v>
      </c>
      <c r="Y41" s="26"/>
    </row>
    <row r="42" spans="1:25" x14ac:dyDescent="0.2">
      <c r="A42" s="17">
        <v>2003</v>
      </c>
      <c r="B42" s="51">
        <f t="shared" si="9"/>
        <v>17</v>
      </c>
      <c r="C42" s="53">
        <f t="shared" si="10"/>
        <v>194</v>
      </c>
      <c r="D42" s="54">
        <v>13</v>
      </c>
      <c r="E42" s="54">
        <v>4</v>
      </c>
      <c r="F42" s="54"/>
      <c r="G42" s="54">
        <f t="shared" si="11"/>
        <v>133</v>
      </c>
      <c r="H42" s="53">
        <f t="shared" si="12"/>
        <v>61</v>
      </c>
      <c r="I42" s="52"/>
      <c r="J42" s="51">
        <f t="shared" si="0"/>
        <v>8</v>
      </c>
      <c r="K42" s="53">
        <f t="shared" si="1"/>
        <v>126</v>
      </c>
      <c r="L42" s="54">
        <v>1</v>
      </c>
      <c r="M42" s="54">
        <v>7</v>
      </c>
      <c r="N42" s="54"/>
      <c r="O42" s="54">
        <f t="shared" si="2"/>
        <v>57</v>
      </c>
      <c r="P42" s="54">
        <f t="shared" si="3"/>
        <v>69</v>
      </c>
      <c r="Q42" s="82"/>
      <c r="R42" s="51">
        <f t="shared" si="13"/>
        <v>25</v>
      </c>
      <c r="S42" s="53">
        <f t="shared" si="4"/>
        <v>320</v>
      </c>
      <c r="T42" s="54">
        <f t="shared" si="5"/>
        <v>14</v>
      </c>
      <c r="U42" s="54">
        <f t="shared" si="6"/>
        <v>11</v>
      </c>
      <c r="V42" s="54"/>
      <c r="W42" s="54">
        <f t="shared" si="7"/>
        <v>190</v>
      </c>
      <c r="X42" s="54">
        <f t="shared" si="8"/>
        <v>130</v>
      </c>
      <c r="Y42" s="26"/>
    </row>
    <row r="43" spans="1:25" x14ac:dyDescent="0.2">
      <c r="A43" s="17">
        <v>2004</v>
      </c>
      <c r="B43" s="51">
        <f t="shared" si="9"/>
        <v>18</v>
      </c>
      <c r="C43" s="53">
        <f t="shared" si="10"/>
        <v>212</v>
      </c>
      <c r="D43" s="54">
        <v>14</v>
      </c>
      <c r="E43" s="54">
        <v>4</v>
      </c>
      <c r="F43" s="54"/>
      <c r="G43" s="54">
        <f t="shared" si="11"/>
        <v>147</v>
      </c>
      <c r="H43" s="53">
        <f t="shared" si="12"/>
        <v>65</v>
      </c>
      <c r="I43" s="52"/>
      <c r="J43" s="51">
        <f t="shared" si="0"/>
        <v>8</v>
      </c>
      <c r="K43" s="53">
        <f t="shared" si="1"/>
        <v>134</v>
      </c>
      <c r="L43" s="54">
        <f>1+4+0</f>
        <v>5</v>
      </c>
      <c r="M43" s="54">
        <v>3</v>
      </c>
      <c r="N43" s="54"/>
      <c r="O43" s="54">
        <f t="shared" si="2"/>
        <v>62</v>
      </c>
      <c r="P43" s="54">
        <f t="shared" si="3"/>
        <v>72</v>
      </c>
      <c r="Q43" s="82"/>
      <c r="R43" s="51">
        <f t="shared" si="13"/>
        <v>26</v>
      </c>
      <c r="S43" s="53">
        <f t="shared" si="4"/>
        <v>346</v>
      </c>
      <c r="T43" s="54">
        <f t="shared" si="5"/>
        <v>19</v>
      </c>
      <c r="U43" s="54">
        <f t="shared" si="6"/>
        <v>7</v>
      </c>
      <c r="V43" s="54"/>
      <c r="W43" s="54">
        <f t="shared" si="7"/>
        <v>209</v>
      </c>
      <c r="X43" s="54">
        <f t="shared" si="8"/>
        <v>137</v>
      </c>
      <c r="Y43" s="26"/>
    </row>
    <row r="44" spans="1:25" s="67" customFormat="1" x14ac:dyDescent="0.2">
      <c r="A44" s="17">
        <v>2005</v>
      </c>
      <c r="B44" s="51">
        <f t="shared" ref="B44:B49" si="14">D44+E44</f>
        <v>21</v>
      </c>
      <c r="C44" s="53">
        <f t="shared" ref="C44:C49" si="15">C43+B44</f>
        <v>233</v>
      </c>
      <c r="D44" s="62">
        <f>4+5+3+2</f>
        <v>14</v>
      </c>
      <c r="E44" s="138">
        <f>2+2+0+3</f>
        <v>7</v>
      </c>
      <c r="F44" s="138"/>
      <c r="G44" s="54">
        <f t="shared" ref="G44:G57" si="16">G43+D44</f>
        <v>161</v>
      </c>
      <c r="H44" s="53">
        <f t="shared" ref="H44:H57" si="17">H43+E44</f>
        <v>72</v>
      </c>
      <c r="I44" s="52"/>
      <c r="J44" s="51">
        <f t="shared" ref="J44:J49" si="18">L44+M44</f>
        <v>16</v>
      </c>
      <c r="K44" s="53">
        <f t="shared" ref="K44:K49" si="19">K43+J44</f>
        <v>150</v>
      </c>
      <c r="L44" s="62">
        <f>2+4+1+0</f>
        <v>7</v>
      </c>
      <c r="M44" s="138">
        <f>1+2+3+3</f>
        <v>9</v>
      </c>
      <c r="N44" s="138"/>
      <c r="O44" s="54">
        <f t="shared" ref="O44:O57" si="20">O43+L44</f>
        <v>69</v>
      </c>
      <c r="P44" s="54">
        <f t="shared" ref="P44:P57" si="21">P43+M44</f>
        <v>81</v>
      </c>
      <c r="Q44" s="82"/>
      <c r="R44" s="51">
        <f t="shared" ref="R44:R57" si="22">B44+J44</f>
        <v>37</v>
      </c>
      <c r="S44" s="53">
        <f t="shared" ref="S44:S57" si="23">C44+K44</f>
        <v>383</v>
      </c>
      <c r="T44" s="54">
        <f t="shared" ref="T44:T57" si="24">D44+L44</f>
        <v>21</v>
      </c>
      <c r="U44" s="54">
        <f t="shared" ref="U44:U57" si="25">E44+M44</f>
        <v>16</v>
      </c>
      <c r="V44" s="54"/>
      <c r="W44" s="54">
        <f t="shared" ref="W44:W57" si="26">W43+T44</f>
        <v>230</v>
      </c>
      <c r="X44" s="54">
        <f t="shared" ref="X44:X57" si="27">X43+U44</f>
        <v>153</v>
      </c>
      <c r="Y44" s="62"/>
    </row>
    <row r="45" spans="1:25" s="67" customFormat="1" x14ac:dyDescent="0.2">
      <c r="A45" s="17">
        <v>2006</v>
      </c>
      <c r="B45" s="51">
        <f t="shared" si="14"/>
        <v>32</v>
      </c>
      <c r="C45" s="53">
        <f t="shared" si="15"/>
        <v>265</v>
      </c>
      <c r="D45" s="62">
        <f>5+7+5+4</f>
        <v>21</v>
      </c>
      <c r="E45" s="138">
        <f>4+0+2+5</f>
        <v>11</v>
      </c>
      <c r="F45" s="138"/>
      <c r="G45" s="54">
        <f t="shared" si="16"/>
        <v>182</v>
      </c>
      <c r="H45" s="53">
        <f t="shared" si="17"/>
        <v>83</v>
      </c>
      <c r="I45" s="52"/>
      <c r="J45" s="61">
        <f t="shared" si="18"/>
        <v>18</v>
      </c>
      <c r="K45" s="53">
        <f t="shared" si="19"/>
        <v>168</v>
      </c>
      <c r="L45" s="62">
        <f>3+2+1+2</f>
        <v>8</v>
      </c>
      <c r="M45" s="138">
        <f>0+3+2+5</f>
        <v>10</v>
      </c>
      <c r="N45" s="138"/>
      <c r="O45" s="54">
        <f t="shared" si="20"/>
        <v>77</v>
      </c>
      <c r="P45" s="54">
        <f t="shared" si="21"/>
        <v>91</v>
      </c>
      <c r="Q45" s="82"/>
      <c r="R45" s="51">
        <f t="shared" si="22"/>
        <v>50</v>
      </c>
      <c r="S45" s="53">
        <f t="shared" si="23"/>
        <v>433</v>
      </c>
      <c r="T45" s="54">
        <f t="shared" si="24"/>
        <v>29</v>
      </c>
      <c r="U45" s="54">
        <f t="shared" si="25"/>
        <v>21</v>
      </c>
      <c r="V45" s="54"/>
      <c r="W45" s="54">
        <f t="shared" si="26"/>
        <v>259</v>
      </c>
      <c r="X45" s="54">
        <f t="shared" si="27"/>
        <v>174</v>
      </c>
      <c r="Y45" s="62"/>
    </row>
    <row r="46" spans="1:25" s="67" customFormat="1" x14ac:dyDescent="0.2">
      <c r="A46" s="17">
        <v>2007</v>
      </c>
      <c r="B46" s="51">
        <f t="shared" si="14"/>
        <v>27</v>
      </c>
      <c r="C46" s="53">
        <f t="shared" si="15"/>
        <v>292</v>
      </c>
      <c r="D46" s="138">
        <f>3+3+5+6</f>
        <v>17</v>
      </c>
      <c r="E46" s="138">
        <f>5+2+2+1</f>
        <v>10</v>
      </c>
      <c r="F46" s="138"/>
      <c r="G46" s="54">
        <f t="shared" si="16"/>
        <v>199</v>
      </c>
      <c r="H46" s="53">
        <f t="shared" si="17"/>
        <v>93</v>
      </c>
      <c r="I46" s="52"/>
      <c r="J46" s="61">
        <f t="shared" si="18"/>
        <v>16</v>
      </c>
      <c r="K46" s="53">
        <f t="shared" si="19"/>
        <v>184</v>
      </c>
      <c r="L46" s="62">
        <f>2+0+1+3</f>
        <v>6</v>
      </c>
      <c r="M46" s="138">
        <f>3+2+4+1</f>
        <v>10</v>
      </c>
      <c r="N46" s="138"/>
      <c r="O46" s="54">
        <f t="shared" si="20"/>
        <v>83</v>
      </c>
      <c r="P46" s="54">
        <f t="shared" si="21"/>
        <v>101</v>
      </c>
      <c r="Q46" s="82"/>
      <c r="R46" s="51">
        <f t="shared" si="22"/>
        <v>43</v>
      </c>
      <c r="S46" s="53">
        <f t="shared" si="23"/>
        <v>476</v>
      </c>
      <c r="T46" s="54">
        <f t="shared" si="24"/>
        <v>23</v>
      </c>
      <c r="U46" s="54">
        <f t="shared" si="25"/>
        <v>20</v>
      </c>
      <c r="V46" s="54"/>
      <c r="W46" s="54">
        <f t="shared" si="26"/>
        <v>282</v>
      </c>
      <c r="X46" s="54">
        <f t="shared" si="27"/>
        <v>194</v>
      </c>
      <c r="Y46" s="62"/>
    </row>
    <row r="47" spans="1:25" s="67" customFormat="1" x14ac:dyDescent="0.2">
      <c r="A47" s="17">
        <v>2008</v>
      </c>
      <c r="B47" s="51">
        <f t="shared" si="14"/>
        <v>34</v>
      </c>
      <c r="C47" s="53">
        <f t="shared" si="15"/>
        <v>326</v>
      </c>
      <c r="D47" s="138">
        <f>7+2+5+3</f>
        <v>17</v>
      </c>
      <c r="E47" s="138">
        <f>2+6+5+4</f>
        <v>17</v>
      </c>
      <c r="F47" s="138"/>
      <c r="G47" s="54">
        <f t="shared" si="16"/>
        <v>216</v>
      </c>
      <c r="H47" s="53">
        <f t="shared" si="17"/>
        <v>110</v>
      </c>
      <c r="I47" s="52"/>
      <c r="J47" s="61">
        <f t="shared" si="18"/>
        <v>17</v>
      </c>
      <c r="K47" s="53">
        <f t="shared" si="19"/>
        <v>201</v>
      </c>
      <c r="L47" s="62">
        <f>2+1+4+3</f>
        <v>10</v>
      </c>
      <c r="M47" s="138">
        <f>2+1+1+3</f>
        <v>7</v>
      </c>
      <c r="N47" s="138"/>
      <c r="O47" s="54">
        <f t="shared" si="20"/>
        <v>93</v>
      </c>
      <c r="P47" s="54">
        <f t="shared" si="21"/>
        <v>108</v>
      </c>
      <c r="Q47" s="82"/>
      <c r="R47" s="51">
        <f t="shared" si="22"/>
        <v>51</v>
      </c>
      <c r="S47" s="53">
        <f t="shared" si="23"/>
        <v>527</v>
      </c>
      <c r="T47" s="54">
        <f t="shared" si="24"/>
        <v>27</v>
      </c>
      <c r="U47" s="54">
        <f t="shared" si="25"/>
        <v>24</v>
      </c>
      <c r="V47" s="54"/>
      <c r="W47" s="54">
        <f t="shared" si="26"/>
        <v>309</v>
      </c>
      <c r="X47" s="54">
        <f t="shared" si="27"/>
        <v>218</v>
      </c>
      <c r="Y47" s="62"/>
    </row>
    <row r="48" spans="1:25" s="67" customFormat="1" x14ac:dyDescent="0.2">
      <c r="A48" s="17">
        <v>2009</v>
      </c>
      <c r="B48" s="51">
        <f t="shared" si="14"/>
        <v>36</v>
      </c>
      <c r="C48" s="53">
        <f t="shared" si="15"/>
        <v>362</v>
      </c>
      <c r="D48" s="138">
        <f>4+0+2+6</f>
        <v>12</v>
      </c>
      <c r="E48" s="138">
        <f>9+6+6+3</f>
        <v>24</v>
      </c>
      <c r="F48" s="138"/>
      <c r="G48" s="54">
        <f t="shared" si="16"/>
        <v>228</v>
      </c>
      <c r="H48" s="53">
        <f t="shared" si="17"/>
        <v>134</v>
      </c>
      <c r="I48" s="52"/>
      <c r="J48" s="61">
        <f t="shared" si="18"/>
        <v>14</v>
      </c>
      <c r="K48" s="53">
        <f t="shared" si="19"/>
        <v>215</v>
      </c>
      <c r="L48" s="62">
        <f>0+1+0+2</f>
        <v>3</v>
      </c>
      <c r="M48" s="138">
        <f>1+4+4+2</f>
        <v>11</v>
      </c>
      <c r="N48" s="138"/>
      <c r="O48" s="54">
        <f t="shared" si="20"/>
        <v>96</v>
      </c>
      <c r="P48" s="54">
        <f t="shared" si="21"/>
        <v>119</v>
      </c>
      <c r="Q48" s="82"/>
      <c r="R48" s="51">
        <f t="shared" si="22"/>
        <v>50</v>
      </c>
      <c r="S48" s="53">
        <f t="shared" si="23"/>
        <v>577</v>
      </c>
      <c r="T48" s="54">
        <f t="shared" si="24"/>
        <v>15</v>
      </c>
      <c r="U48" s="54">
        <f t="shared" si="25"/>
        <v>35</v>
      </c>
      <c r="V48" s="54"/>
      <c r="W48" s="54">
        <f t="shared" si="26"/>
        <v>324</v>
      </c>
      <c r="X48" s="54">
        <f t="shared" si="27"/>
        <v>253</v>
      </c>
      <c r="Y48" s="62"/>
    </row>
    <row r="49" spans="1:25" s="67" customFormat="1" x14ac:dyDescent="0.2">
      <c r="A49" s="17">
        <v>2010</v>
      </c>
      <c r="B49" s="51">
        <f t="shared" si="14"/>
        <v>38</v>
      </c>
      <c r="C49" s="53">
        <f t="shared" si="15"/>
        <v>400</v>
      </c>
      <c r="D49" s="138">
        <f>3+5+3+0</f>
        <v>11</v>
      </c>
      <c r="E49" s="138">
        <f>4+8+7+8</f>
        <v>27</v>
      </c>
      <c r="F49" s="138"/>
      <c r="G49" s="54">
        <f t="shared" si="16"/>
        <v>239</v>
      </c>
      <c r="H49" s="53">
        <f t="shared" si="17"/>
        <v>161</v>
      </c>
      <c r="I49" s="52"/>
      <c r="J49" s="61">
        <f t="shared" si="18"/>
        <v>13</v>
      </c>
      <c r="K49" s="53">
        <f t="shared" si="19"/>
        <v>228</v>
      </c>
      <c r="L49" s="138">
        <f>1+3+0+0</f>
        <v>4</v>
      </c>
      <c r="M49" s="138">
        <f>1+2+4+2</f>
        <v>9</v>
      </c>
      <c r="N49" s="138"/>
      <c r="O49" s="54">
        <f t="shared" si="20"/>
        <v>100</v>
      </c>
      <c r="P49" s="54">
        <f t="shared" si="21"/>
        <v>128</v>
      </c>
      <c r="Q49" s="82"/>
      <c r="R49" s="51">
        <f t="shared" si="22"/>
        <v>51</v>
      </c>
      <c r="S49" s="53">
        <f t="shared" si="23"/>
        <v>628</v>
      </c>
      <c r="T49" s="54">
        <f t="shared" si="24"/>
        <v>15</v>
      </c>
      <c r="U49" s="54">
        <f t="shared" si="25"/>
        <v>36</v>
      </c>
      <c r="V49" s="54"/>
      <c r="W49" s="54">
        <f t="shared" si="26"/>
        <v>339</v>
      </c>
      <c r="X49" s="54">
        <f t="shared" si="27"/>
        <v>289</v>
      </c>
      <c r="Y49" s="62"/>
    </row>
    <row r="50" spans="1:25" s="165" customFormat="1" x14ac:dyDescent="0.2">
      <c r="A50" s="157">
        <v>2011</v>
      </c>
      <c r="B50" s="51">
        <f t="shared" ref="B50:B55" si="28">D50+E50</f>
        <v>38</v>
      </c>
      <c r="C50" s="126">
        <f t="shared" ref="C50:C55" si="29">C49+B50</f>
        <v>438</v>
      </c>
      <c r="D50" s="136">
        <f>3+3+5+2</f>
        <v>13</v>
      </c>
      <c r="E50" s="136">
        <f>6+5+5+9</f>
        <v>25</v>
      </c>
      <c r="F50" s="136"/>
      <c r="G50" s="133">
        <f t="shared" si="16"/>
        <v>252</v>
      </c>
      <c r="H50" s="126">
        <f t="shared" si="17"/>
        <v>186</v>
      </c>
      <c r="I50" s="127"/>
      <c r="J50" s="158">
        <f t="shared" ref="J50:J55" si="30">L50+M50</f>
        <v>21</v>
      </c>
      <c r="K50" s="126">
        <f t="shared" ref="K50:K55" si="31">K49+J50</f>
        <v>249</v>
      </c>
      <c r="L50" s="169">
        <f>0+0+2+0</f>
        <v>2</v>
      </c>
      <c r="M50" s="136">
        <f>5+7+3+4</f>
        <v>19</v>
      </c>
      <c r="N50" s="136"/>
      <c r="O50" s="133">
        <f t="shared" si="20"/>
        <v>102</v>
      </c>
      <c r="P50" s="133">
        <f t="shared" si="21"/>
        <v>147</v>
      </c>
      <c r="Q50" s="168"/>
      <c r="R50" s="161">
        <f t="shared" si="22"/>
        <v>59</v>
      </c>
      <c r="S50" s="126">
        <f t="shared" si="23"/>
        <v>687</v>
      </c>
      <c r="T50" s="133">
        <f t="shared" si="24"/>
        <v>15</v>
      </c>
      <c r="U50" s="133">
        <f t="shared" si="25"/>
        <v>44</v>
      </c>
      <c r="V50" s="133"/>
      <c r="W50" s="133">
        <f t="shared" si="26"/>
        <v>354</v>
      </c>
      <c r="X50" s="133">
        <f t="shared" si="27"/>
        <v>333</v>
      </c>
      <c r="Y50" s="169"/>
    </row>
    <row r="51" spans="1:25" s="165" customFormat="1" x14ac:dyDescent="0.2">
      <c r="A51" s="157">
        <v>2012</v>
      </c>
      <c r="B51" s="171">
        <f t="shared" si="28"/>
        <v>44</v>
      </c>
      <c r="C51" s="126">
        <f t="shared" si="29"/>
        <v>482</v>
      </c>
      <c r="D51" s="136">
        <f>0+4+5+3</f>
        <v>12</v>
      </c>
      <c r="E51" s="136">
        <f>8+7+6+11</f>
        <v>32</v>
      </c>
      <c r="F51" s="136"/>
      <c r="G51" s="133">
        <f t="shared" si="16"/>
        <v>264</v>
      </c>
      <c r="H51" s="126">
        <f t="shared" si="17"/>
        <v>218</v>
      </c>
      <c r="I51" s="127"/>
      <c r="J51" s="158">
        <f t="shared" si="30"/>
        <v>15</v>
      </c>
      <c r="K51" s="126">
        <f t="shared" si="31"/>
        <v>264</v>
      </c>
      <c r="L51" s="169">
        <f>0+0+0+0</f>
        <v>0</v>
      </c>
      <c r="M51" s="136">
        <f>6+4+2+3</f>
        <v>15</v>
      </c>
      <c r="N51" s="136"/>
      <c r="O51" s="133">
        <f t="shared" si="20"/>
        <v>102</v>
      </c>
      <c r="P51" s="133">
        <f t="shared" si="21"/>
        <v>162</v>
      </c>
      <c r="Q51" s="168"/>
      <c r="R51" s="161">
        <f t="shared" si="22"/>
        <v>59</v>
      </c>
      <c r="S51" s="126">
        <f t="shared" si="23"/>
        <v>746</v>
      </c>
      <c r="T51" s="133">
        <f t="shared" si="24"/>
        <v>12</v>
      </c>
      <c r="U51" s="133">
        <f t="shared" si="25"/>
        <v>47</v>
      </c>
      <c r="V51" s="133"/>
      <c r="W51" s="133">
        <f t="shared" si="26"/>
        <v>366</v>
      </c>
      <c r="X51" s="133">
        <f t="shared" si="27"/>
        <v>380</v>
      </c>
      <c r="Y51" s="169"/>
    </row>
    <row r="52" spans="1:25" s="165" customFormat="1" x14ac:dyDescent="0.2">
      <c r="A52" s="157">
        <v>2013</v>
      </c>
      <c r="B52" s="171">
        <f t="shared" si="28"/>
        <v>42</v>
      </c>
      <c r="C52" s="126">
        <f t="shared" si="29"/>
        <v>524</v>
      </c>
      <c r="D52" s="136">
        <f>1+1+0+1</f>
        <v>3</v>
      </c>
      <c r="E52" s="136">
        <f>5+7+14+13</f>
        <v>39</v>
      </c>
      <c r="F52" s="136"/>
      <c r="G52" s="133">
        <f t="shared" si="16"/>
        <v>267</v>
      </c>
      <c r="H52" s="126">
        <f t="shared" si="17"/>
        <v>257</v>
      </c>
      <c r="I52" s="127"/>
      <c r="J52" s="158">
        <f t="shared" si="30"/>
        <v>16</v>
      </c>
      <c r="K52" s="126">
        <f t="shared" si="31"/>
        <v>280</v>
      </c>
      <c r="L52" s="169">
        <v>2</v>
      </c>
      <c r="M52" s="136">
        <v>14</v>
      </c>
      <c r="N52" s="136"/>
      <c r="O52" s="133">
        <f t="shared" si="20"/>
        <v>104</v>
      </c>
      <c r="P52" s="133">
        <f t="shared" si="21"/>
        <v>176</v>
      </c>
      <c r="Q52" s="168"/>
      <c r="R52" s="161">
        <f t="shared" si="22"/>
        <v>58</v>
      </c>
      <c r="S52" s="126">
        <f t="shared" si="23"/>
        <v>804</v>
      </c>
      <c r="T52" s="133">
        <f t="shared" si="24"/>
        <v>5</v>
      </c>
      <c r="U52" s="133">
        <f t="shared" si="25"/>
        <v>53</v>
      </c>
      <c r="V52" s="133"/>
      <c r="W52" s="133">
        <f t="shared" si="26"/>
        <v>371</v>
      </c>
      <c r="X52" s="133">
        <f t="shared" si="27"/>
        <v>433</v>
      </c>
      <c r="Y52" s="169"/>
    </row>
    <row r="53" spans="1:25" s="170" customFormat="1" x14ac:dyDescent="0.2">
      <c r="A53" s="157">
        <v>2014</v>
      </c>
      <c r="B53" s="171">
        <f t="shared" si="28"/>
        <v>47</v>
      </c>
      <c r="C53" s="126">
        <f t="shared" si="29"/>
        <v>571</v>
      </c>
      <c r="D53" s="136">
        <f>2+5+0+0</f>
        <v>7</v>
      </c>
      <c r="E53" s="136">
        <f>10+13+10+7</f>
        <v>40</v>
      </c>
      <c r="F53" s="136"/>
      <c r="G53" s="133">
        <f t="shared" si="16"/>
        <v>274</v>
      </c>
      <c r="H53" s="126">
        <f t="shared" si="17"/>
        <v>297</v>
      </c>
      <c r="I53" s="127"/>
      <c r="J53" s="158">
        <f t="shared" si="30"/>
        <v>17</v>
      </c>
      <c r="K53" s="126">
        <f t="shared" si="31"/>
        <v>297</v>
      </c>
      <c r="L53" s="169">
        <f>0+0+0+1</f>
        <v>1</v>
      </c>
      <c r="M53" s="136">
        <f>5+3+4+4</f>
        <v>16</v>
      </c>
      <c r="N53" s="136"/>
      <c r="O53" s="133">
        <f t="shared" si="20"/>
        <v>105</v>
      </c>
      <c r="P53" s="133">
        <f t="shared" si="21"/>
        <v>192</v>
      </c>
      <c r="Q53" s="168"/>
      <c r="R53" s="161">
        <f t="shared" si="22"/>
        <v>64</v>
      </c>
      <c r="S53" s="126">
        <f t="shared" si="23"/>
        <v>868</v>
      </c>
      <c r="T53" s="133">
        <f t="shared" si="24"/>
        <v>8</v>
      </c>
      <c r="U53" s="133">
        <f t="shared" si="25"/>
        <v>56</v>
      </c>
      <c r="V53" s="133"/>
      <c r="W53" s="133">
        <f t="shared" si="26"/>
        <v>379</v>
      </c>
      <c r="X53" s="133">
        <f t="shared" si="27"/>
        <v>489</v>
      </c>
      <c r="Y53" s="243"/>
    </row>
    <row r="54" spans="1:25" s="165" customFormat="1" x14ac:dyDescent="0.2">
      <c r="A54" s="157">
        <v>2015</v>
      </c>
      <c r="B54" s="171">
        <f t="shared" si="28"/>
        <v>37</v>
      </c>
      <c r="C54" s="126">
        <f t="shared" si="29"/>
        <v>608</v>
      </c>
      <c r="D54" s="136">
        <f>0+1+1+0</f>
        <v>2</v>
      </c>
      <c r="E54" s="136">
        <f>11+4+8+12</f>
        <v>35</v>
      </c>
      <c r="F54" s="136"/>
      <c r="G54" s="133">
        <f t="shared" si="16"/>
        <v>276</v>
      </c>
      <c r="H54" s="126">
        <f t="shared" si="17"/>
        <v>332</v>
      </c>
      <c r="I54" s="127"/>
      <c r="J54" s="158">
        <f t="shared" si="30"/>
        <v>10</v>
      </c>
      <c r="K54" s="126">
        <f t="shared" si="31"/>
        <v>307</v>
      </c>
      <c r="L54" s="136">
        <f>0+0+1+1</f>
        <v>2</v>
      </c>
      <c r="M54" s="136">
        <f>2+3+3</f>
        <v>8</v>
      </c>
      <c r="N54" s="136"/>
      <c r="O54" s="133">
        <f t="shared" si="20"/>
        <v>107</v>
      </c>
      <c r="P54" s="133">
        <f t="shared" si="21"/>
        <v>200</v>
      </c>
      <c r="Q54" s="168"/>
      <c r="R54" s="161">
        <f t="shared" si="22"/>
        <v>47</v>
      </c>
      <c r="S54" s="126">
        <f t="shared" si="23"/>
        <v>915</v>
      </c>
      <c r="T54" s="133">
        <f t="shared" si="24"/>
        <v>4</v>
      </c>
      <c r="U54" s="133">
        <f t="shared" si="25"/>
        <v>43</v>
      </c>
      <c r="V54" s="133"/>
      <c r="W54" s="133">
        <f t="shared" si="26"/>
        <v>383</v>
      </c>
      <c r="X54" s="133">
        <f t="shared" si="27"/>
        <v>532</v>
      </c>
      <c r="Y54" s="169"/>
    </row>
    <row r="55" spans="1:25" s="230" customFormat="1" x14ac:dyDescent="0.2">
      <c r="A55" s="17">
        <v>2016</v>
      </c>
      <c r="B55" s="171">
        <f t="shared" si="28"/>
        <v>40</v>
      </c>
      <c r="C55" s="134">
        <f t="shared" si="29"/>
        <v>648</v>
      </c>
      <c r="D55" s="205">
        <f>2+1+0+2</f>
        <v>5</v>
      </c>
      <c r="E55" s="205">
        <f>12+8+5+10</f>
        <v>35</v>
      </c>
      <c r="F55" s="205"/>
      <c r="G55" s="142">
        <f t="shared" si="16"/>
        <v>281</v>
      </c>
      <c r="H55" s="134">
        <f t="shared" si="17"/>
        <v>367</v>
      </c>
      <c r="I55" s="172"/>
      <c r="J55" s="129">
        <f t="shared" si="30"/>
        <v>22</v>
      </c>
      <c r="K55" s="134">
        <f t="shared" si="31"/>
        <v>329</v>
      </c>
      <c r="L55" s="205">
        <f>0+1+1+1</f>
        <v>3</v>
      </c>
      <c r="M55" s="205">
        <f>7+4+6+2</f>
        <v>19</v>
      </c>
      <c r="N55" s="205"/>
      <c r="O55" s="142">
        <f t="shared" si="20"/>
        <v>110</v>
      </c>
      <c r="P55" s="142">
        <f t="shared" si="21"/>
        <v>219</v>
      </c>
      <c r="Q55" s="197"/>
      <c r="R55" s="171">
        <f t="shared" si="22"/>
        <v>62</v>
      </c>
      <c r="S55" s="134">
        <f t="shared" si="23"/>
        <v>977</v>
      </c>
      <c r="T55" s="142">
        <f t="shared" si="24"/>
        <v>8</v>
      </c>
      <c r="U55" s="142">
        <f t="shared" si="25"/>
        <v>54</v>
      </c>
      <c r="V55" s="142"/>
      <c r="W55" s="142">
        <f t="shared" si="26"/>
        <v>391</v>
      </c>
      <c r="X55" s="142">
        <f t="shared" si="27"/>
        <v>586</v>
      </c>
      <c r="Y55" s="202"/>
    </row>
    <row r="56" spans="1:25" s="170" customFormat="1" x14ac:dyDescent="0.2">
      <c r="A56" s="17">
        <v>2017</v>
      </c>
      <c r="B56" s="171">
        <f>D56+E56</f>
        <v>42</v>
      </c>
      <c r="C56" s="126">
        <f t="shared" ref="C56:C61" si="32">C55+B56</f>
        <v>690</v>
      </c>
      <c r="D56" s="136">
        <v>4</v>
      </c>
      <c r="E56" s="136">
        <f>15+9+6+8</f>
        <v>38</v>
      </c>
      <c r="F56" s="136"/>
      <c r="G56" s="141">
        <f t="shared" si="16"/>
        <v>285</v>
      </c>
      <c r="H56" s="126">
        <f t="shared" si="17"/>
        <v>405</v>
      </c>
      <c r="I56" s="127"/>
      <c r="J56" s="158">
        <f>L56+M56</f>
        <v>23</v>
      </c>
      <c r="K56" s="126">
        <f t="shared" ref="K56:K61" si="33">K55+J56</f>
        <v>352</v>
      </c>
      <c r="L56" s="136">
        <f>0+0+0+1</f>
        <v>1</v>
      </c>
      <c r="M56" s="136">
        <f>8+6+1+7</f>
        <v>22</v>
      </c>
      <c r="N56" s="136"/>
      <c r="O56" s="133">
        <f t="shared" si="20"/>
        <v>111</v>
      </c>
      <c r="P56" s="133">
        <f t="shared" si="21"/>
        <v>241</v>
      </c>
      <c r="Q56" s="168"/>
      <c r="R56" s="161">
        <f t="shared" si="22"/>
        <v>65</v>
      </c>
      <c r="S56" s="126">
        <f t="shared" si="23"/>
        <v>1042</v>
      </c>
      <c r="T56" s="133">
        <f t="shared" si="24"/>
        <v>5</v>
      </c>
      <c r="U56" s="133">
        <f t="shared" si="25"/>
        <v>60</v>
      </c>
      <c r="V56" s="133"/>
      <c r="W56" s="133">
        <f t="shared" si="26"/>
        <v>396</v>
      </c>
      <c r="X56" s="133">
        <f t="shared" si="27"/>
        <v>646</v>
      </c>
      <c r="Y56" s="243"/>
    </row>
    <row r="57" spans="1:25" s="170" customFormat="1" x14ac:dyDescent="0.2">
      <c r="A57" s="17">
        <v>2018</v>
      </c>
      <c r="B57" s="171">
        <f t="shared" ref="B57:B63" si="34">D57+E57+F57</f>
        <v>55</v>
      </c>
      <c r="C57" s="126">
        <f t="shared" si="32"/>
        <v>745</v>
      </c>
      <c r="D57" s="136">
        <f>2+2+1+3</f>
        <v>8</v>
      </c>
      <c r="E57" s="136">
        <f>12+7+18+9</f>
        <v>46</v>
      </c>
      <c r="F57" s="136">
        <f>0+1</f>
        <v>1</v>
      </c>
      <c r="G57" s="141">
        <f t="shared" si="16"/>
        <v>293</v>
      </c>
      <c r="H57" s="126">
        <f t="shared" si="17"/>
        <v>451</v>
      </c>
      <c r="I57" s="127">
        <f>F56+F57</f>
        <v>1</v>
      </c>
      <c r="J57" s="158">
        <f>L57+M57</f>
        <v>19</v>
      </c>
      <c r="K57" s="126">
        <f t="shared" si="33"/>
        <v>371</v>
      </c>
      <c r="L57" s="136">
        <f>1+0+1+1</f>
        <v>3</v>
      </c>
      <c r="M57" s="136">
        <f>6+1+5+4</f>
        <v>16</v>
      </c>
      <c r="N57" s="136"/>
      <c r="O57" s="133">
        <f t="shared" si="20"/>
        <v>114</v>
      </c>
      <c r="P57" s="133">
        <f t="shared" si="21"/>
        <v>257</v>
      </c>
      <c r="Q57" s="127">
        <f>N56+N57</f>
        <v>0</v>
      </c>
      <c r="R57" s="161">
        <f t="shared" si="22"/>
        <v>74</v>
      </c>
      <c r="S57" s="126">
        <f t="shared" si="23"/>
        <v>1116</v>
      </c>
      <c r="T57" s="133">
        <f t="shared" si="24"/>
        <v>11</v>
      </c>
      <c r="U57" s="133">
        <f t="shared" si="25"/>
        <v>62</v>
      </c>
      <c r="V57" s="133">
        <f t="shared" ref="V57:V63" si="35">F57+N57</f>
        <v>1</v>
      </c>
      <c r="W57" s="133">
        <f t="shared" si="26"/>
        <v>407</v>
      </c>
      <c r="X57" s="133">
        <f t="shared" si="27"/>
        <v>708</v>
      </c>
      <c r="Y57" s="133">
        <f t="shared" ref="Y57:Y63" si="36">Y56+V57</f>
        <v>1</v>
      </c>
    </row>
    <row r="58" spans="1:25" s="165" customFormat="1" x14ac:dyDescent="0.2">
      <c r="A58" s="17">
        <v>2019</v>
      </c>
      <c r="B58" s="171">
        <f t="shared" si="34"/>
        <v>40</v>
      </c>
      <c r="C58" s="126">
        <f t="shared" si="32"/>
        <v>785</v>
      </c>
      <c r="D58" s="136">
        <f>1+3+2+4</f>
        <v>10</v>
      </c>
      <c r="E58" s="136">
        <f>10+8+6+6</f>
        <v>30</v>
      </c>
      <c r="F58" s="136">
        <f>0+0+0+0</f>
        <v>0</v>
      </c>
      <c r="G58" s="141">
        <f t="shared" ref="G58:H60" si="37">G57+D58</f>
        <v>303</v>
      </c>
      <c r="H58" s="126">
        <f t="shared" si="37"/>
        <v>481</v>
      </c>
      <c r="I58" s="127">
        <f>F57+F58</f>
        <v>1</v>
      </c>
      <c r="J58" s="158">
        <f t="shared" ref="J58:J63" si="38">L58+M58+N58</f>
        <v>15</v>
      </c>
      <c r="K58" s="126">
        <f t="shared" si="33"/>
        <v>386</v>
      </c>
      <c r="L58" s="136">
        <f>4+1+1+0</f>
        <v>6</v>
      </c>
      <c r="M58" s="136">
        <f>2+3+0+4</f>
        <v>9</v>
      </c>
      <c r="N58" s="136">
        <f>0+0+0+0</f>
        <v>0</v>
      </c>
      <c r="O58" s="133">
        <f t="shared" ref="O58:P60" si="39">O57+L58</f>
        <v>120</v>
      </c>
      <c r="P58" s="133">
        <f t="shared" si="39"/>
        <v>266</v>
      </c>
      <c r="Q58" s="127">
        <f>N57+N58</f>
        <v>0</v>
      </c>
      <c r="R58" s="161">
        <f t="shared" ref="R58:U59" si="40">B58+J58</f>
        <v>55</v>
      </c>
      <c r="S58" s="126">
        <f t="shared" si="40"/>
        <v>1171</v>
      </c>
      <c r="T58" s="133">
        <f t="shared" si="40"/>
        <v>16</v>
      </c>
      <c r="U58" s="133">
        <f t="shared" si="40"/>
        <v>39</v>
      </c>
      <c r="V58" s="133">
        <f t="shared" si="35"/>
        <v>0</v>
      </c>
      <c r="W58" s="133">
        <f t="shared" ref="W58:X60" si="41">W57+T58</f>
        <v>423</v>
      </c>
      <c r="X58" s="133">
        <f t="shared" si="41"/>
        <v>747</v>
      </c>
      <c r="Y58" s="133">
        <f t="shared" si="36"/>
        <v>1</v>
      </c>
    </row>
    <row r="59" spans="1:25" s="170" customFormat="1" x14ac:dyDescent="0.2">
      <c r="A59" s="17">
        <v>2020</v>
      </c>
      <c r="B59" s="171">
        <f t="shared" si="34"/>
        <v>39</v>
      </c>
      <c r="C59" s="126">
        <f t="shared" si="32"/>
        <v>824</v>
      </c>
      <c r="D59" s="136">
        <f>4+3+4+2</f>
        <v>13</v>
      </c>
      <c r="E59" s="136">
        <f>6+4+9+7</f>
        <v>26</v>
      </c>
      <c r="F59" s="136">
        <f>0+0+0+0</f>
        <v>0</v>
      </c>
      <c r="G59" s="141">
        <f t="shared" si="37"/>
        <v>316</v>
      </c>
      <c r="H59" s="126">
        <f t="shared" si="37"/>
        <v>507</v>
      </c>
      <c r="I59" s="127">
        <f>F57+F59</f>
        <v>1</v>
      </c>
      <c r="J59" s="158">
        <f t="shared" si="38"/>
        <v>12</v>
      </c>
      <c r="K59" s="126">
        <f t="shared" si="33"/>
        <v>398</v>
      </c>
      <c r="L59" s="136">
        <f>0+0+0+0</f>
        <v>0</v>
      </c>
      <c r="M59" s="136">
        <f>2+4+4+2</f>
        <v>12</v>
      </c>
      <c r="N59" s="136">
        <f>0+0+0+0</f>
        <v>0</v>
      </c>
      <c r="O59" s="133">
        <f t="shared" si="39"/>
        <v>120</v>
      </c>
      <c r="P59" s="133">
        <f t="shared" si="39"/>
        <v>278</v>
      </c>
      <c r="Q59" s="127">
        <f>N58+N59</f>
        <v>0</v>
      </c>
      <c r="R59" s="161">
        <f t="shared" si="40"/>
        <v>51</v>
      </c>
      <c r="S59" s="126">
        <f t="shared" si="40"/>
        <v>1222</v>
      </c>
      <c r="T59" s="133">
        <f t="shared" si="40"/>
        <v>13</v>
      </c>
      <c r="U59" s="133">
        <f t="shared" si="40"/>
        <v>38</v>
      </c>
      <c r="V59" s="133">
        <f t="shared" si="35"/>
        <v>0</v>
      </c>
      <c r="W59" s="133">
        <f t="shared" si="41"/>
        <v>436</v>
      </c>
      <c r="X59" s="133">
        <f t="shared" si="41"/>
        <v>785</v>
      </c>
      <c r="Y59" s="133">
        <f t="shared" si="36"/>
        <v>1</v>
      </c>
    </row>
    <row r="60" spans="1:25" s="170" customFormat="1" x14ac:dyDescent="0.2">
      <c r="A60" s="17">
        <v>2021</v>
      </c>
      <c r="B60" s="171">
        <f t="shared" si="34"/>
        <v>33</v>
      </c>
      <c r="C60" s="126">
        <f t="shared" si="32"/>
        <v>857</v>
      </c>
      <c r="D60" s="136">
        <f>0+1+0+0</f>
        <v>1</v>
      </c>
      <c r="E60" s="136">
        <f>10+5+4+11</f>
        <v>30</v>
      </c>
      <c r="F60" s="136">
        <f>0+0+1+1</f>
        <v>2</v>
      </c>
      <c r="G60" s="141">
        <f t="shared" si="37"/>
        <v>317</v>
      </c>
      <c r="H60" s="126">
        <f t="shared" si="37"/>
        <v>537</v>
      </c>
      <c r="I60" s="127">
        <f>F57+F60</f>
        <v>3</v>
      </c>
      <c r="J60" s="158">
        <f t="shared" si="38"/>
        <v>18</v>
      </c>
      <c r="K60" s="126">
        <f t="shared" si="33"/>
        <v>416</v>
      </c>
      <c r="L60" s="136">
        <f>0+0+0+0</f>
        <v>0</v>
      </c>
      <c r="M60" s="136">
        <f>3+4+4+7</f>
        <v>18</v>
      </c>
      <c r="N60" s="136">
        <f>0+0+0+0</f>
        <v>0</v>
      </c>
      <c r="O60" s="133">
        <f t="shared" si="39"/>
        <v>120</v>
      </c>
      <c r="P60" s="133">
        <f t="shared" si="39"/>
        <v>296</v>
      </c>
      <c r="Q60" s="127">
        <f>N59+N60</f>
        <v>0</v>
      </c>
      <c r="R60" s="161">
        <f t="shared" ref="R60:U61" si="42">B60+J60</f>
        <v>51</v>
      </c>
      <c r="S60" s="126">
        <f t="shared" si="42"/>
        <v>1273</v>
      </c>
      <c r="T60" s="133">
        <f t="shared" si="42"/>
        <v>1</v>
      </c>
      <c r="U60" s="133">
        <f t="shared" si="42"/>
        <v>48</v>
      </c>
      <c r="V60" s="133">
        <f t="shared" si="35"/>
        <v>2</v>
      </c>
      <c r="W60" s="133">
        <f t="shared" si="41"/>
        <v>437</v>
      </c>
      <c r="X60" s="133">
        <f t="shared" si="41"/>
        <v>833</v>
      </c>
      <c r="Y60" s="133">
        <f t="shared" si="36"/>
        <v>3</v>
      </c>
    </row>
    <row r="61" spans="1:25" s="170" customFormat="1" x14ac:dyDescent="0.2">
      <c r="A61" s="396">
        <v>2022</v>
      </c>
      <c r="B61" s="186">
        <f t="shared" si="34"/>
        <v>34</v>
      </c>
      <c r="C61" s="177">
        <f t="shared" si="32"/>
        <v>891</v>
      </c>
      <c r="D61" s="180">
        <f>0+2+0+0</f>
        <v>2</v>
      </c>
      <c r="E61" s="180">
        <f>5+6+9+7</f>
        <v>27</v>
      </c>
      <c r="F61" s="180">
        <f>4+0+0+1</f>
        <v>5</v>
      </c>
      <c r="G61" s="181">
        <f t="shared" ref="G61:I63" si="43">G60+D61</f>
        <v>319</v>
      </c>
      <c r="H61" s="177">
        <f t="shared" si="43"/>
        <v>564</v>
      </c>
      <c r="I61" s="151">
        <f t="shared" si="43"/>
        <v>8</v>
      </c>
      <c r="J61" s="176">
        <f t="shared" si="38"/>
        <v>15</v>
      </c>
      <c r="K61" s="177">
        <f t="shared" si="33"/>
        <v>431</v>
      </c>
      <c r="L61" s="180">
        <f>0+0+1+0</f>
        <v>1</v>
      </c>
      <c r="M61" s="180">
        <f>4+2+5+2</f>
        <v>13</v>
      </c>
      <c r="N61" s="180">
        <f>0+0+1+0</f>
        <v>1</v>
      </c>
      <c r="O61" s="178">
        <f t="shared" ref="O61:P63" si="44">O60+L61</f>
        <v>121</v>
      </c>
      <c r="P61" s="178">
        <f t="shared" si="44"/>
        <v>309</v>
      </c>
      <c r="Q61" s="151">
        <f>N60+N61</f>
        <v>1</v>
      </c>
      <c r="R61" s="175">
        <f t="shared" si="42"/>
        <v>49</v>
      </c>
      <c r="S61" s="177">
        <f t="shared" si="42"/>
        <v>1322</v>
      </c>
      <c r="T61" s="178">
        <f t="shared" si="42"/>
        <v>3</v>
      </c>
      <c r="U61" s="178">
        <f t="shared" si="42"/>
        <v>40</v>
      </c>
      <c r="V61" s="178">
        <f t="shared" si="35"/>
        <v>6</v>
      </c>
      <c r="W61" s="178">
        <f t="shared" ref="W61:X63" si="45">W60+T61</f>
        <v>440</v>
      </c>
      <c r="X61" s="178">
        <f t="shared" si="45"/>
        <v>873</v>
      </c>
      <c r="Y61" s="178">
        <f t="shared" si="36"/>
        <v>9</v>
      </c>
    </row>
    <row r="62" spans="1:25" s="170" customFormat="1" x14ac:dyDescent="0.2">
      <c r="A62" s="17">
        <v>2023</v>
      </c>
      <c r="B62" s="186">
        <f t="shared" si="34"/>
        <v>65</v>
      </c>
      <c r="C62" s="177">
        <f>C61+B62</f>
        <v>956</v>
      </c>
      <c r="D62" s="180">
        <f>0+0+1+1</f>
        <v>2</v>
      </c>
      <c r="E62" s="180">
        <f>10+12+17+15</f>
        <v>54</v>
      </c>
      <c r="F62" s="180">
        <f>1+4+1+3</f>
        <v>9</v>
      </c>
      <c r="G62" s="181">
        <f t="shared" si="43"/>
        <v>321</v>
      </c>
      <c r="H62" s="177">
        <f t="shared" si="43"/>
        <v>618</v>
      </c>
      <c r="I62" s="151">
        <f t="shared" si="43"/>
        <v>17</v>
      </c>
      <c r="J62" s="176">
        <f t="shared" si="38"/>
        <v>20</v>
      </c>
      <c r="K62" s="177">
        <f>K61+J62</f>
        <v>451</v>
      </c>
      <c r="L62" s="180">
        <f>0+0+0+0</f>
        <v>0</v>
      </c>
      <c r="M62" s="180">
        <f>4+1+5+7</f>
        <v>17</v>
      </c>
      <c r="N62" s="180">
        <f>0+1+0+2</f>
        <v>3</v>
      </c>
      <c r="O62" s="178">
        <f t="shared" si="44"/>
        <v>121</v>
      </c>
      <c r="P62" s="178">
        <f t="shared" si="44"/>
        <v>326</v>
      </c>
      <c r="Q62" s="151">
        <f>Q61+N62</f>
        <v>4</v>
      </c>
      <c r="R62" s="175">
        <f t="shared" ref="R62:U63" si="46">B62+J62</f>
        <v>85</v>
      </c>
      <c r="S62" s="177">
        <f t="shared" si="46"/>
        <v>1407</v>
      </c>
      <c r="T62" s="178">
        <f t="shared" si="46"/>
        <v>2</v>
      </c>
      <c r="U62" s="178">
        <f t="shared" si="46"/>
        <v>71</v>
      </c>
      <c r="V62" s="178">
        <f t="shared" si="35"/>
        <v>12</v>
      </c>
      <c r="W62" s="178">
        <f t="shared" si="45"/>
        <v>442</v>
      </c>
      <c r="X62" s="178">
        <f t="shared" si="45"/>
        <v>944</v>
      </c>
      <c r="Y62" s="178">
        <f t="shared" si="36"/>
        <v>21</v>
      </c>
    </row>
    <row r="63" spans="1:25" x14ac:dyDescent="0.2">
      <c r="A63" s="221">
        <v>2024</v>
      </c>
      <c r="B63" s="186">
        <f t="shared" si="34"/>
        <v>42</v>
      </c>
      <c r="C63" s="177">
        <f>C62+B63</f>
        <v>998</v>
      </c>
      <c r="D63" s="62">
        <f>1+2+0+1</f>
        <v>4</v>
      </c>
      <c r="E63" s="62">
        <f>6+14+9+2</f>
        <v>31</v>
      </c>
      <c r="F63" s="62">
        <f>1+2+2+2</f>
        <v>7</v>
      </c>
      <c r="G63" s="181">
        <f t="shared" si="43"/>
        <v>325</v>
      </c>
      <c r="H63" s="177">
        <f t="shared" si="43"/>
        <v>649</v>
      </c>
      <c r="I63" s="151">
        <f t="shared" si="43"/>
        <v>24</v>
      </c>
      <c r="J63" s="176">
        <f t="shared" si="38"/>
        <v>16</v>
      </c>
      <c r="K63" s="177">
        <f>K62+J63</f>
        <v>467</v>
      </c>
      <c r="L63" s="62">
        <f>0+1+1+0</f>
        <v>2</v>
      </c>
      <c r="M63" s="402">
        <f>2+5+4+2</f>
        <v>13</v>
      </c>
      <c r="N63" s="62">
        <f>0+1+0+0</f>
        <v>1</v>
      </c>
      <c r="O63" s="178">
        <f t="shared" si="44"/>
        <v>123</v>
      </c>
      <c r="P63" s="178">
        <f t="shared" si="44"/>
        <v>339</v>
      </c>
      <c r="Q63" s="151">
        <f>Q62+N63</f>
        <v>5</v>
      </c>
      <c r="R63" s="175">
        <f t="shared" si="46"/>
        <v>58</v>
      </c>
      <c r="S63" s="177">
        <f t="shared" si="46"/>
        <v>1465</v>
      </c>
      <c r="T63" s="178">
        <f t="shared" si="46"/>
        <v>6</v>
      </c>
      <c r="U63" s="178">
        <f t="shared" si="46"/>
        <v>44</v>
      </c>
      <c r="V63" s="178">
        <f t="shared" si="35"/>
        <v>8</v>
      </c>
      <c r="W63" s="178">
        <f t="shared" si="45"/>
        <v>448</v>
      </c>
      <c r="X63" s="178">
        <f t="shared" si="45"/>
        <v>988</v>
      </c>
      <c r="Y63" s="178">
        <f t="shared" si="36"/>
        <v>29</v>
      </c>
    </row>
    <row r="64" spans="1:25" x14ac:dyDescent="0.2">
      <c r="A64" s="17">
        <v>2025</v>
      </c>
      <c r="B64" s="63"/>
      <c r="C64" s="62"/>
      <c r="D64" s="62"/>
      <c r="E64" s="62"/>
      <c r="F64" s="62"/>
      <c r="G64" s="62"/>
      <c r="H64" s="71"/>
      <c r="I64" s="72"/>
      <c r="J64" s="64"/>
      <c r="K64" s="62"/>
      <c r="L64" s="62"/>
      <c r="M64" s="62"/>
      <c r="N64" s="62"/>
      <c r="O64" s="62"/>
      <c r="P64" s="71"/>
      <c r="Q64" s="72"/>
      <c r="R64" s="63"/>
      <c r="S64" s="62"/>
      <c r="T64" s="62"/>
      <c r="U64" s="62"/>
      <c r="V64" s="62"/>
      <c r="W64" s="62"/>
      <c r="X64" s="62"/>
      <c r="Y64" s="62"/>
    </row>
    <row r="65" spans="1:25" x14ac:dyDescent="0.2">
      <c r="A65" s="17">
        <v>2026</v>
      </c>
      <c r="B65" s="63"/>
      <c r="C65" s="62"/>
      <c r="D65" s="62"/>
      <c r="E65" s="62"/>
      <c r="F65" s="62"/>
      <c r="G65" s="62"/>
      <c r="H65" s="71"/>
      <c r="I65" s="72"/>
      <c r="J65" s="64"/>
      <c r="K65" s="62"/>
      <c r="L65" s="62"/>
      <c r="M65" s="62"/>
      <c r="N65" s="62"/>
      <c r="O65" s="62"/>
      <c r="P65" s="71"/>
      <c r="Q65" s="72"/>
      <c r="R65" s="63"/>
      <c r="S65" s="62"/>
      <c r="T65" s="62"/>
      <c r="U65" s="62"/>
      <c r="V65" s="62"/>
      <c r="W65" s="62"/>
      <c r="X65" s="62"/>
      <c r="Y65" s="62"/>
    </row>
    <row r="66" spans="1:25" x14ac:dyDescent="0.2">
      <c r="A66" s="17">
        <v>2027</v>
      </c>
      <c r="B66" s="63"/>
      <c r="C66" s="62"/>
      <c r="D66" s="62"/>
      <c r="E66" s="62"/>
      <c r="F66" s="62"/>
      <c r="G66" s="62"/>
      <c r="H66" s="71"/>
      <c r="I66" s="72"/>
      <c r="J66" s="64"/>
      <c r="K66" s="62"/>
      <c r="L66" s="62"/>
      <c r="M66" s="62"/>
      <c r="N66" s="62"/>
      <c r="O66" s="62"/>
      <c r="P66" s="71"/>
      <c r="Q66" s="72"/>
      <c r="R66" s="63"/>
      <c r="S66" s="62"/>
      <c r="T66" s="62"/>
      <c r="U66" s="62"/>
      <c r="V66" s="62"/>
      <c r="W66" s="62"/>
      <c r="X66" s="62"/>
      <c r="Y66" s="62"/>
    </row>
    <row r="67" spans="1:25" x14ac:dyDescent="0.2">
      <c r="A67" s="17">
        <v>2028</v>
      </c>
      <c r="B67" s="63"/>
      <c r="C67" s="62"/>
      <c r="D67" s="62"/>
      <c r="E67" s="62"/>
      <c r="F67" s="62"/>
      <c r="G67" s="62"/>
      <c r="H67" s="71"/>
      <c r="I67" s="72"/>
      <c r="J67" s="64"/>
      <c r="K67" s="62"/>
      <c r="L67" s="62"/>
      <c r="M67" s="62"/>
      <c r="N67" s="62"/>
      <c r="O67" s="62"/>
      <c r="P67" s="71"/>
      <c r="Q67" s="72"/>
      <c r="R67" s="63"/>
      <c r="S67" s="62"/>
      <c r="T67" s="62"/>
      <c r="U67" s="62"/>
      <c r="V67" s="62"/>
      <c r="W67" s="62"/>
      <c r="X67" s="62"/>
      <c r="Y67" s="62"/>
    </row>
    <row r="68" spans="1:25" x14ac:dyDescent="0.2">
      <c r="A68" s="17">
        <v>2029</v>
      </c>
      <c r="B68" s="63"/>
      <c r="C68" s="62"/>
      <c r="D68" s="62"/>
      <c r="E68" s="62"/>
      <c r="F68" s="62"/>
      <c r="G68" s="62"/>
      <c r="H68" s="71"/>
      <c r="I68" s="72"/>
      <c r="J68" s="64"/>
      <c r="K68" s="62"/>
      <c r="L68" s="62"/>
      <c r="M68" s="62"/>
      <c r="N68" s="62"/>
      <c r="O68" s="62"/>
      <c r="P68" s="71"/>
      <c r="Q68" s="72"/>
      <c r="R68" s="63"/>
      <c r="S68" s="62"/>
      <c r="T68" s="62"/>
      <c r="U68" s="62"/>
      <c r="V68" s="62"/>
      <c r="W68" s="62"/>
      <c r="X68" s="62"/>
      <c r="Y68" s="62"/>
    </row>
    <row r="69" spans="1:25" x14ac:dyDescent="0.2">
      <c r="A69" s="17">
        <v>2030</v>
      </c>
      <c r="B69" s="63"/>
      <c r="C69" s="62"/>
      <c r="D69" s="62"/>
      <c r="E69" s="62"/>
      <c r="F69" s="62"/>
      <c r="G69" s="62"/>
      <c r="H69" s="71"/>
      <c r="I69" s="72"/>
      <c r="J69" s="64"/>
      <c r="K69" s="62"/>
      <c r="L69" s="62"/>
      <c r="M69" s="62"/>
      <c r="N69" s="62"/>
      <c r="O69" s="62"/>
      <c r="P69" s="71"/>
      <c r="Q69" s="72"/>
      <c r="R69" s="63"/>
      <c r="S69" s="62"/>
      <c r="T69" s="62"/>
      <c r="U69" s="62"/>
      <c r="V69" s="62"/>
      <c r="W69" s="62"/>
      <c r="X69" s="62"/>
      <c r="Y69" s="62"/>
    </row>
    <row r="70" spans="1:25" x14ac:dyDescent="0.2">
      <c r="A70" s="17"/>
      <c r="B70" s="63"/>
      <c r="C70" s="62"/>
      <c r="D70" s="62"/>
      <c r="E70" s="62"/>
      <c r="F70" s="62"/>
      <c r="G70" s="62"/>
      <c r="H70" s="71"/>
      <c r="I70" s="72"/>
      <c r="J70" s="64"/>
      <c r="K70" s="62"/>
      <c r="L70" s="62"/>
      <c r="M70" s="62"/>
      <c r="N70" s="62"/>
      <c r="O70" s="62"/>
      <c r="P70" s="71"/>
      <c r="Q70" s="72"/>
      <c r="R70" s="63"/>
      <c r="S70" s="62"/>
      <c r="T70" s="62"/>
      <c r="U70" s="62"/>
      <c r="V70" s="62"/>
      <c r="W70" s="62"/>
      <c r="X70" s="62"/>
      <c r="Y70" s="62"/>
    </row>
    <row r="71" spans="1:25" x14ac:dyDescent="0.2">
      <c r="A71" s="17"/>
      <c r="B71" s="63"/>
      <c r="C71" s="62"/>
      <c r="D71" s="62"/>
      <c r="E71" s="62"/>
      <c r="F71" s="62"/>
      <c r="G71" s="62"/>
      <c r="H71" s="71"/>
      <c r="I71" s="72"/>
      <c r="J71" s="64"/>
      <c r="K71" s="62"/>
      <c r="L71" s="62"/>
      <c r="M71" s="62"/>
      <c r="N71" s="62"/>
      <c r="O71" s="62"/>
      <c r="P71" s="71"/>
      <c r="Q71" s="72"/>
      <c r="R71" s="63"/>
      <c r="S71" s="62"/>
      <c r="T71" s="62"/>
      <c r="U71" s="62"/>
      <c r="V71" s="62"/>
      <c r="W71" s="62"/>
      <c r="X71" s="62"/>
      <c r="Y71" s="62"/>
    </row>
    <row r="72" spans="1:25" x14ac:dyDescent="0.2">
      <c r="A72" s="18"/>
      <c r="B72" s="74"/>
      <c r="C72" s="75"/>
      <c r="D72" s="75"/>
      <c r="E72" s="75"/>
      <c r="F72" s="75"/>
      <c r="G72" s="75"/>
      <c r="H72" s="76"/>
      <c r="I72" s="77"/>
      <c r="J72" s="79"/>
      <c r="K72" s="75"/>
      <c r="L72" s="75"/>
      <c r="M72" s="75"/>
      <c r="N72" s="75"/>
      <c r="O72" s="75"/>
      <c r="P72" s="76"/>
      <c r="Q72" s="77"/>
      <c r="R72" s="74"/>
      <c r="S72" s="75"/>
      <c r="T72" s="75"/>
      <c r="U72" s="75"/>
      <c r="V72" s="75"/>
      <c r="W72" s="75"/>
      <c r="X72" s="75"/>
      <c r="Y72" s="75"/>
    </row>
    <row r="73" spans="1:25" x14ac:dyDescent="0.2">
      <c r="U73" s="7"/>
      <c r="V73" s="7"/>
    </row>
    <row r="74" spans="1:25" x14ac:dyDescent="0.2">
      <c r="U74" s="7"/>
      <c r="V74" s="7"/>
    </row>
    <row r="75" spans="1:25" x14ac:dyDescent="0.2">
      <c r="U75" s="7"/>
      <c r="V75" s="7"/>
    </row>
    <row r="76" spans="1:25" x14ac:dyDescent="0.2">
      <c r="U76" s="7"/>
      <c r="V76" s="7"/>
    </row>
    <row r="77" spans="1:25" x14ac:dyDescent="0.2">
      <c r="U77" s="7"/>
      <c r="V77" s="7"/>
    </row>
    <row r="78" spans="1:25" x14ac:dyDescent="0.2">
      <c r="U78" s="7"/>
      <c r="V78" s="7"/>
    </row>
    <row r="79" spans="1:25" x14ac:dyDescent="0.2">
      <c r="U79" s="7"/>
      <c r="V79" s="7"/>
    </row>
    <row r="80" spans="1:25" x14ac:dyDescent="0.2">
      <c r="U80" s="7"/>
      <c r="V80" s="7"/>
    </row>
    <row r="81" spans="21:22" x14ac:dyDescent="0.2">
      <c r="U81" s="7"/>
      <c r="V81" s="7"/>
    </row>
    <row r="82" spans="21:22" x14ac:dyDescent="0.2">
      <c r="U82" s="7"/>
      <c r="V82" s="7"/>
    </row>
    <row r="83" spans="21:22" x14ac:dyDescent="0.2">
      <c r="U83" s="7"/>
      <c r="V83" s="7"/>
    </row>
    <row r="84" spans="21:22" x14ac:dyDescent="0.2">
      <c r="U84" s="7"/>
      <c r="V84" s="7"/>
    </row>
    <row r="85" spans="21:22" x14ac:dyDescent="0.2">
      <c r="U85" s="7"/>
      <c r="V85" s="7"/>
    </row>
    <row r="86" spans="21:22" x14ac:dyDescent="0.2">
      <c r="U86" s="7"/>
      <c r="V86" s="7"/>
    </row>
    <row r="87" spans="21:22" x14ac:dyDescent="0.2">
      <c r="U87" s="7"/>
      <c r="V87" s="7"/>
    </row>
    <row r="88" spans="21:22" x14ac:dyDescent="0.2">
      <c r="U88" s="7"/>
      <c r="V88" s="7"/>
    </row>
    <row r="89" spans="21:22" x14ac:dyDescent="0.2">
      <c r="U89" s="7"/>
      <c r="V89" s="7"/>
    </row>
    <row r="90" spans="21:22" x14ac:dyDescent="0.2">
      <c r="U90" s="7"/>
      <c r="V90" s="7"/>
    </row>
    <row r="91" spans="21:22" x14ac:dyDescent="0.2">
      <c r="U91" s="7"/>
      <c r="V91" s="7"/>
    </row>
    <row r="92" spans="21:22" x14ac:dyDescent="0.2">
      <c r="U92" s="7"/>
      <c r="V92" s="7"/>
    </row>
    <row r="93" spans="21:22" x14ac:dyDescent="0.2">
      <c r="U93" s="7"/>
      <c r="V93" s="7"/>
    </row>
    <row r="94" spans="21:22" x14ac:dyDescent="0.2">
      <c r="U94" s="7"/>
      <c r="V94" s="7"/>
    </row>
    <row r="95" spans="21:22" x14ac:dyDescent="0.2">
      <c r="U95" s="7"/>
      <c r="V95" s="7"/>
    </row>
    <row r="96" spans="21:22" x14ac:dyDescent="0.2">
      <c r="U96" s="7"/>
      <c r="V96" s="7"/>
    </row>
    <row r="97" spans="21:22" x14ac:dyDescent="0.2">
      <c r="U97" s="7"/>
      <c r="V97" s="7"/>
    </row>
    <row r="98" spans="21:22" x14ac:dyDescent="0.2">
      <c r="U98" s="7"/>
      <c r="V98" s="7"/>
    </row>
    <row r="99" spans="21:22" x14ac:dyDescent="0.2">
      <c r="U99" s="7"/>
      <c r="V99" s="7"/>
    </row>
    <row r="100" spans="21:22" x14ac:dyDescent="0.2">
      <c r="U100" s="7"/>
      <c r="V100" s="7"/>
    </row>
    <row r="101" spans="21:22" x14ac:dyDescent="0.2">
      <c r="U101" s="7"/>
      <c r="V101" s="7"/>
    </row>
    <row r="102" spans="21:22" x14ac:dyDescent="0.2">
      <c r="U102" s="7"/>
      <c r="V102" s="7"/>
    </row>
    <row r="103" spans="21:22" x14ac:dyDescent="0.2">
      <c r="U103" s="7"/>
      <c r="V103" s="7"/>
    </row>
    <row r="104" spans="21:22" x14ac:dyDescent="0.2">
      <c r="U104" s="7"/>
      <c r="V104" s="7"/>
    </row>
    <row r="105" spans="21:22" x14ac:dyDescent="0.2">
      <c r="U105" s="7"/>
      <c r="V105" s="7"/>
    </row>
    <row r="106" spans="21:22" x14ac:dyDescent="0.2">
      <c r="U106" s="7"/>
      <c r="V106" s="7"/>
    </row>
    <row r="107" spans="21:22" x14ac:dyDescent="0.2">
      <c r="U107" s="7"/>
      <c r="V107" s="7"/>
    </row>
    <row r="108" spans="21:22" x14ac:dyDescent="0.2">
      <c r="U108" s="7"/>
      <c r="V108" s="7"/>
    </row>
    <row r="109" spans="21:22" x14ac:dyDescent="0.2">
      <c r="U109" s="7"/>
      <c r="V109" s="7"/>
    </row>
    <row r="110" spans="21:22" x14ac:dyDescent="0.2">
      <c r="U110" s="7"/>
      <c r="V110" s="7"/>
    </row>
    <row r="111" spans="21:22" x14ac:dyDescent="0.2">
      <c r="U111" s="7"/>
      <c r="V111" s="7"/>
    </row>
    <row r="112" spans="21:22" x14ac:dyDescent="0.2">
      <c r="U112" s="7"/>
      <c r="V112" s="7"/>
    </row>
    <row r="113" spans="21:22" x14ac:dyDescent="0.2">
      <c r="U113" s="7"/>
      <c r="V113" s="7"/>
    </row>
    <row r="114" spans="21:22" x14ac:dyDescent="0.2">
      <c r="U114" s="7"/>
      <c r="V114" s="7"/>
    </row>
    <row r="115" spans="21:22" x14ac:dyDescent="0.2">
      <c r="U115" s="7"/>
      <c r="V115" s="7"/>
    </row>
    <row r="116" spans="21:22" x14ac:dyDescent="0.2">
      <c r="U116" s="7"/>
      <c r="V116" s="7"/>
    </row>
    <row r="117" spans="21:22" x14ac:dyDescent="0.2">
      <c r="U117" s="7"/>
      <c r="V117" s="7"/>
    </row>
    <row r="118" spans="21:22" x14ac:dyDescent="0.2">
      <c r="U118" s="7"/>
      <c r="V118" s="7"/>
    </row>
    <row r="119" spans="21:22" x14ac:dyDescent="0.2">
      <c r="U119" s="7"/>
      <c r="V119" s="7"/>
    </row>
    <row r="120" spans="21:22" x14ac:dyDescent="0.2">
      <c r="U120" s="7"/>
      <c r="V120" s="7"/>
    </row>
    <row r="121" spans="21:22" x14ac:dyDescent="0.2">
      <c r="U121" s="7"/>
      <c r="V121" s="7"/>
    </row>
    <row r="122" spans="21:22" x14ac:dyDescent="0.2">
      <c r="U122" s="7"/>
      <c r="V122" s="7"/>
    </row>
    <row r="123" spans="21:22" x14ac:dyDescent="0.2">
      <c r="U123" s="7"/>
      <c r="V123" s="7"/>
    </row>
    <row r="124" spans="21:22" x14ac:dyDescent="0.2">
      <c r="U124" s="7"/>
      <c r="V124" s="7"/>
    </row>
    <row r="125" spans="21:22" x14ac:dyDescent="0.2">
      <c r="U125" s="7"/>
      <c r="V125" s="7"/>
    </row>
    <row r="126" spans="21:22" x14ac:dyDescent="0.2">
      <c r="U126" s="7"/>
      <c r="V126" s="7"/>
    </row>
    <row r="127" spans="21:22" x14ac:dyDescent="0.2">
      <c r="U127" s="7"/>
      <c r="V127" s="7"/>
    </row>
    <row r="128" spans="21:22" x14ac:dyDescent="0.2">
      <c r="U128" s="7"/>
      <c r="V128" s="7"/>
    </row>
    <row r="129" spans="21:22" x14ac:dyDescent="0.2">
      <c r="U129" s="7"/>
      <c r="V129" s="7"/>
    </row>
    <row r="130" spans="21:22" x14ac:dyDescent="0.2">
      <c r="U130" s="7"/>
      <c r="V130" s="7"/>
    </row>
    <row r="131" spans="21:22" x14ac:dyDescent="0.2">
      <c r="U131" s="7"/>
      <c r="V131" s="7"/>
    </row>
    <row r="132" spans="21:22" x14ac:dyDescent="0.2">
      <c r="U132" s="7"/>
      <c r="V132" s="7"/>
    </row>
    <row r="133" spans="21:22" x14ac:dyDescent="0.2">
      <c r="U133" s="7"/>
      <c r="V133" s="7"/>
    </row>
    <row r="134" spans="21:22" x14ac:dyDescent="0.2">
      <c r="U134" s="7"/>
      <c r="V134" s="7"/>
    </row>
    <row r="135" spans="21:22" x14ac:dyDescent="0.2">
      <c r="U135" s="7"/>
      <c r="V135" s="7"/>
    </row>
    <row r="136" spans="21:22" x14ac:dyDescent="0.2">
      <c r="U136" s="7"/>
      <c r="V136" s="7"/>
    </row>
    <row r="137" spans="21:22" x14ac:dyDescent="0.2">
      <c r="U137" s="7"/>
      <c r="V137" s="7"/>
    </row>
    <row r="138" spans="21:22" x14ac:dyDescent="0.2">
      <c r="U138" s="7"/>
      <c r="V138" s="7"/>
    </row>
    <row r="139" spans="21:22" x14ac:dyDescent="0.2">
      <c r="U139" s="7"/>
      <c r="V139" s="7"/>
    </row>
    <row r="140" spans="21:22" x14ac:dyDescent="0.2">
      <c r="U140" s="7"/>
      <c r="V140" s="7"/>
    </row>
    <row r="141" spans="21:22" x14ac:dyDescent="0.2">
      <c r="U141" s="7"/>
      <c r="V141" s="7"/>
    </row>
    <row r="142" spans="21:22" x14ac:dyDescent="0.2">
      <c r="U142" s="7"/>
      <c r="V142" s="7"/>
    </row>
    <row r="143" spans="21:22" x14ac:dyDescent="0.2">
      <c r="U143" s="7"/>
      <c r="V143" s="7"/>
    </row>
    <row r="144" spans="21:22" x14ac:dyDescent="0.2">
      <c r="U144" s="7"/>
      <c r="V144" s="7"/>
    </row>
    <row r="145" spans="21:22" x14ac:dyDescent="0.2">
      <c r="U145" s="7"/>
      <c r="V145" s="7"/>
    </row>
    <row r="146" spans="21:22" x14ac:dyDescent="0.2">
      <c r="U146" s="7"/>
      <c r="V146" s="7"/>
    </row>
    <row r="147" spans="21:22" x14ac:dyDescent="0.2">
      <c r="U147" s="7"/>
      <c r="V147" s="7"/>
    </row>
    <row r="148" spans="21:22" x14ac:dyDescent="0.2">
      <c r="U148" s="7"/>
      <c r="V148" s="7"/>
    </row>
    <row r="149" spans="21:22" x14ac:dyDescent="0.2">
      <c r="U149" s="7"/>
      <c r="V149" s="7"/>
    </row>
    <row r="150" spans="21:22" x14ac:dyDescent="0.2">
      <c r="U150" s="7"/>
      <c r="V150" s="7"/>
    </row>
    <row r="151" spans="21:22" x14ac:dyDescent="0.2">
      <c r="U151" s="7"/>
      <c r="V151" s="7"/>
    </row>
    <row r="152" spans="21:22" x14ac:dyDescent="0.2">
      <c r="U152" s="7"/>
      <c r="V152" s="7"/>
    </row>
    <row r="153" spans="21:22" x14ac:dyDescent="0.2">
      <c r="U153" s="7"/>
      <c r="V153" s="7"/>
    </row>
    <row r="154" spans="21:22" x14ac:dyDescent="0.2">
      <c r="U154" s="7"/>
      <c r="V154" s="7"/>
    </row>
    <row r="155" spans="21:22" x14ac:dyDescent="0.2">
      <c r="U155" s="7"/>
      <c r="V155" s="7"/>
    </row>
    <row r="156" spans="21:22" x14ac:dyDescent="0.2">
      <c r="U156" s="7"/>
      <c r="V156" s="7"/>
    </row>
    <row r="157" spans="21:22" x14ac:dyDescent="0.2">
      <c r="U157" s="7"/>
      <c r="V157" s="7"/>
    </row>
    <row r="158" spans="21:22" x14ac:dyDescent="0.2">
      <c r="U158" s="7"/>
      <c r="V158" s="7"/>
    </row>
    <row r="159" spans="21:22" x14ac:dyDescent="0.2">
      <c r="U159" s="7"/>
      <c r="V159" s="7"/>
    </row>
    <row r="160" spans="21:22" x14ac:dyDescent="0.2">
      <c r="U160" s="7"/>
      <c r="V160" s="7"/>
    </row>
    <row r="161" spans="21:22" x14ac:dyDescent="0.2">
      <c r="U161" s="7"/>
      <c r="V161" s="7"/>
    </row>
    <row r="162" spans="21:22" x14ac:dyDescent="0.2">
      <c r="U162" s="7"/>
      <c r="V162" s="7"/>
    </row>
    <row r="163" spans="21:22" x14ac:dyDescent="0.2">
      <c r="U163" s="7"/>
      <c r="V163" s="7"/>
    </row>
    <row r="164" spans="21:22" x14ac:dyDescent="0.2">
      <c r="U164" s="7"/>
      <c r="V164" s="7"/>
    </row>
    <row r="165" spans="21:22" x14ac:dyDescent="0.2">
      <c r="U165" s="7"/>
      <c r="V165" s="7"/>
    </row>
    <row r="166" spans="21:22" x14ac:dyDescent="0.2">
      <c r="U166" s="7"/>
      <c r="V166" s="7"/>
    </row>
    <row r="167" spans="21:22" x14ac:dyDescent="0.2">
      <c r="U167" s="7"/>
      <c r="V167" s="7"/>
    </row>
    <row r="168" spans="21:22" x14ac:dyDescent="0.2">
      <c r="U168" s="7"/>
      <c r="V168" s="7"/>
    </row>
    <row r="169" spans="21:22" x14ac:dyDescent="0.2">
      <c r="U169" s="7"/>
      <c r="V169" s="7"/>
    </row>
    <row r="170" spans="21:22" x14ac:dyDescent="0.2">
      <c r="U170" s="7"/>
      <c r="V170" s="7"/>
    </row>
    <row r="171" spans="21:22" x14ac:dyDescent="0.2">
      <c r="U171" s="7"/>
      <c r="V171" s="7"/>
    </row>
    <row r="172" spans="21:22" x14ac:dyDescent="0.2">
      <c r="U172" s="7"/>
      <c r="V172" s="7"/>
    </row>
    <row r="173" spans="21:22" x14ac:dyDescent="0.2">
      <c r="U173" s="7"/>
      <c r="V173" s="7"/>
    </row>
    <row r="174" spans="21:22" x14ac:dyDescent="0.2">
      <c r="U174" s="7"/>
      <c r="V174" s="7"/>
    </row>
    <row r="175" spans="21:22" x14ac:dyDescent="0.2">
      <c r="U175" s="7"/>
      <c r="V175" s="7"/>
    </row>
    <row r="176" spans="21:22" x14ac:dyDescent="0.2">
      <c r="U176" s="7"/>
      <c r="V176" s="7"/>
    </row>
    <row r="177" spans="21:22" x14ac:dyDescent="0.2">
      <c r="U177" s="7"/>
      <c r="V177" s="7"/>
    </row>
    <row r="178" spans="21:22" x14ac:dyDescent="0.2">
      <c r="U178" s="7"/>
      <c r="V178" s="7"/>
    </row>
    <row r="179" spans="21:22" x14ac:dyDescent="0.2">
      <c r="U179" s="7"/>
      <c r="V179" s="7"/>
    </row>
    <row r="180" spans="21:22" x14ac:dyDescent="0.2">
      <c r="U180" s="7"/>
      <c r="V180" s="7"/>
    </row>
    <row r="181" spans="21:22" x14ac:dyDescent="0.2">
      <c r="U181" s="7"/>
      <c r="V181" s="7"/>
    </row>
    <row r="182" spans="21:22" x14ac:dyDescent="0.2">
      <c r="U182" s="7"/>
      <c r="V182" s="7"/>
    </row>
    <row r="183" spans="21:22" x14ac:dyDescent="0.2">
      <c r="U183" s="7"/>
      <c r="V183" s="7"/>
    </row>
    <row r="184" spans="21:22" x14ac:dyDescent="0.2">
      <c r="U184" s="7"/>
      <c r="V184" s="7"/>
    </row>
    <row r="185" spans="21:22" x14ac:dyDescent="0.2">
      <c r="U185" s="7"/>
      <c r="V185" s="7"/>
    </row>
    <row r="186" spans="21:22" x14ac:dyDescent="0.2">
      <c r="U186" s="7"/>
      <c r="V186" s="7"/>
    </row>
    <row r="187" spans="21:22" x14ac:dyDescent="0.2">
      <c r="U187" s="7"/>
      <c r="V187" s="7"/>
    </row>
    <row r="188" spans="21:22" x14ac:dyDescent="0.2">
      <c r="U188" s="7"/>
      <c r="V188" s="7"/>
    </row>
    <row r="189" spans="21:22" x14ac:dyDescent="0.2">
      <c r="U189" s="7"/>
      <c r="V189" s="7"/>
    </row>
    <row r="190" spans="21:22" x14ac:dyDescent="0.2">
      <c r="U190" s="7"/>
      <c r="V190" s="7"/>
    </row>
    <row r="191" spans="21:22" x14ac:dyDescent="0.2">
      <c r="U191" s="7"/>
      <c r="V191" s="7"/>
    </row>
    <row r="192" spans="21:22" x14ac:dyDescent="0.2">
      <c r="U192" s="7"/>
      <c r="V192" s="7"/>
    </row>
    <row r="193" spans="21:22" x14ac:dyDescent="0.2">
      <c r="U193" s="7"/>
      <c r="V193" s="7"/>
    </row>
    <row r="194" spans="21:22" x14ac:dyDescent="0.2">
      <c r="U194" s="7"/>
      <c r="V194" s="7"/>
    </row>
    <row r="195" spans="21:22" x14ac:dyDescent="0.2">
      <c r="U195" s="7"/>
      <c r="V195" s="7"/>
    </row>
    <row r="196" spans="21:22" x14ac:dyDescent="0.2">
      <c r="U196" s="7"/>
      <c r="V196" s="7"/>
    </row>
    <row r="197" spans="21:22" x14ac:dyDescent="0.2">
      <c r="U197" s="7"/>
      <c r="V197" s="7"/>
    </row>
    <row r="198" spans="21:22" x14ac:dyDescent="0.2">
      <c r="U198" s="7"/>
      <c r="V198" s="7"/>
    </row>
    <row r="199" spans="21:22" x14ac:dyDescent="0.2">
      <c r="U199" s="7"/>
      <c r="V199" s="7"/>
    </row>
    <row r="200" spans="21:22" x14ac:dyDescent="0.2">
      <c r="U200" s="7"/>
      <c r="V200" s="7"/>
    </row>
    <row r="201" spans="21:22" x14ac:dyDescent="0.2">
      <c r="U201" s="7"/>
      <c r="V201" s="7"/>
    </row>
    <row r="202" spans="21:22" x14ac:dyDescent="0.2">
      <c r="U202" s="7"/>
      <c r="V202" s="7"/>
    </row>
    <row r="203" spans="21:22" x14ac:dyDescent="0.2">
      <c r="U203" s="7"/>
      <c r="V203" s="7"/>
    </row>
    <row r="204" spans="21:22" x14ac:dyDescent="0.2">
      <c r="U204" s="7"/>
      <c r="V204" s="7"/>
    </row>
    <row r="205" spans="21:22" x14ac:dyDescent="0.2">
      <c r="U205" s="7"/>
      <c r="V205" s="7"/>
    </row>
    <row r="206" spans="21:22" x14ac:dyDescent="0.2">
      <c r="U206" s="7"/>
      <c r="V206" s="7"/>
    </row>
    <row r="207" spans="21:22" x14ac:dyDescent="0.2">
      <c r="U207" s="7"/>
      <c r="V207" s="7"/>
    </row>
    <row r="208" spans="21:22" x14ac:dyDescent="0.2">
      <c r="U208" s="7"/>
      <c r="V208" s="7"/>
    </row>
    <row r="209" spans="21:22" x14ac:dyDescent="0.2">
      <c r="U209" s="7"/>
      <c r="V209" s="7"/>
    </row>
    <row r="210" spans="21:22" x14ac:dyDescent="0.2">
      <c r="U210" s="7"/>
      <c r="V210" s="7"/>
    </row>
    <row r="211" spans="21:22" x14ac:dyDescent="0.2">
      <c r="U211" s="7"/>
      <c r="V211" s="7"/>
    </row>
    <row r="212" spans="21:22" x14ac:dyDescent="0.2">
      <c r="U212" s="7"/>
      <c r="V212" s="7"/>
    </row>
    <row r="213" spans="21:22" x14ac:dyDescent="0.2">
      <c r="U213" s="7"/>
      <c r="V213" s="7"/>
    </row>
    <row r="214" spans="21:22" x14ac:dyDescent="0.2">
      <c r="U214" s="7"/>
      <c r="V214" s="7"/>
    </row>
    <row r="215" spans="21:22" x14ac:dyDescent="0.2">
      <c r="U215" s="7"/>
      <c r="V215" s="7"/>
    </row>
    <row r="216" spans="21:22" x14ac:dyDescent="0.2">
      <c r="U216" s="7"/>
      <c r="V216" s="7"/>
    </row>
    <row r="217" spans="21:22" x14ac:dyDescent="0.2">
      <c r="U217" s="7"/>
      <c r="V217" s="7"/>
    </row>
    <row r="218" spans="21:22" x14ac:dyDescent="0.2">
      <c r="U218" s="7"/>
      <c r="V218" s="7"/>
    </row>
    <row r="219" spans="21:22" x14ac:dyDescent="0.2">
      <c r="U219" s="7"/>
      <c r="V219" s="7"/>
    </row>
    <row r="220" spans="21:22" x14ac:dyDescent="0.2">
      <c r="U220" s="7"/>
      <c r="V220" s="7"/>
    </row>
    <row r="221" spans="21:22" x14ac:dyDescent="0.2">
      <c r="U221" s="7"/>
      <c r="V221" s="7"/>
    </row>
    <row r="222" spans="21:22" x14ac:dyDescent="0.2">
      <c r="U222" s="7"/>
      <c r="V222" s="7"/>
    </row>
    <row r="223" spans="21:22" x14ac:dyDescent="0.2">
      <c r="U223" s="7"/>
      <c r="V223" s="7"/>
    </row>
    <row r="224" spans="21:22" x14ac:dyDescent="0.2">
      <c r="U224" s="7"/>
      <c r="V224" s="7"/>
    </row>
    <row r="225" spans="21:22" x14ac:dyDescent="0.2">
      <c r="U225" s="7"/>
      <c r="V225" s="7"/>
    </row>
    <row r="226" spans="21:22" x14ac:dyDescent="0.2">
      <c r="U226" s="7"/>
      <c r="V226" s="7"/>
    </row>
    <row r="227" spans="21:22" x14ac:dyDescent="0.2">
      <c r="U227" s="7"/>
      <c r="V227" s="7"/>
    </row>
    <row r="228" spans="21:22" x14ac:dyDescent="0.2">
      <c r="U228" s="7"/>
      <c r="V228" s="7"/>
    </row>
    <row r="229" spans="21:22" x14ac:dyDescent="0.2">
      <c r="U229" s="7"/>
      <c r="V229" s="7"/>
    </row>
    <row r="230" spans="21:22" x14ac:dyDescent="0.2">
      <c r="U230" s="7"/>
      <c r="V230" s="7"/>
    </row>
    <row r="231" spans="21:22" x14ac:dyDescent="0.2">
      <c r="U231" s="7"/>
      <c r="V231" s="7"/>
    </row>
    <row r="232" spans="21:22" x14ac:dyDescent="0.2">
      <c r="U232" s="7"/>
      <c r="V232" s="7"/>
    </row>
    <row r="233" spans="21:22" x14ac:dyDescent="0.2">
      <c r="U233" s="7"/>
      <c r="V233" s="7"/>
    </row>
    <row r="234" spans="21:22" x14ac:dyDescent="0.2">
      <c r="U234" s="7"/>
      <c r="V234" s="7"/>
    </row>
    <row r="235" spans="21:22" x14ac:dyDescent="0.2">
      <c r="U235" s="7"/>
      <c r="V235" s="7"/>
    </row>
    <row r="236" spans="21:22" x14ac:dyDescent="0.2">
      <c r="U236" s="7"/>
      <c r="V236" s="7"/>
    </row>
    <row r="237" spans="21:22" x14ac:dyDescent="0.2">
      <c r="U237" s="7"/>
      <c r="V237" s="7"/>
    </row>
    <row r="238" spans="21:22" x14ac:dyDescent="0.2">
      <c r="U238" s="7"/>
      <c r="V238" s="7"/>
    </row>
    <row r="239" spans="21:22" x14ac:dyDescent="0.2">
      <c r="U239" s="7"/>
      <c r="V239" s="7"/>
    </row>
    <row r="240" spans="21:22" x14ac:dyDescent="0.2">
      <c r="U240" s="7"/>
      <c r="V240" s="7"/>
    </row>
    <row r="241" spans="21:22" x14ac:dyDescent="0.2">
      <c r="U241" s="7"/>
      <c r="V241" s="7"/>
    </row>
    <row r="242" spans="21:22" x14ac:dyDescent="0.2">
      <c r="U242" s="7"/>
      <c r="V242" s="7"/>
    </row>
    <row r="243" spans="21:22" x14ac:dyDescent="0.2">
      <c r="U243" s="7"/>
      <c r="V243" s="7"/>
    </row>
    <row r="244" spans="21:22" x14ac:dyDescent="0.2">
      <c r="U244" s="7"/>
      <c r="V244" s="7"/>
    </row>
    <row r="245" spans="21:22" x14ac:dyDescent="0.2">
      <c r="U245" s="7"/>
      <c r="V245" s="7"/>
    </row>
    <row r="246" spans="21:22" x14ac:dyDescent="0.2">
      <c r="U246" s="7"/>
      <c r="V246" s="7"/>
    </row>
    <row r="247" spans="21:22" x14ac:dyDescent="0.2">
      <c r="U247" s="7"/>
      <c r="V247" s="7"/>
    </row>
    <row r="248" spans="21:22" x14ac:dyDescent="0.2">
      <c r="U248" s="7"/>
      <c r="V248" s="7"/>
    </row>
    <row r="249" spans="21:22" x14ac:dyDescent="0.2">
      <c r="U249" s="7"/>
      <c r="V249" s="7"/>
    </row>
    <row r="250" spans="21:22" x14ac:dyDescent="0.2">
      <c r="U250" s="7"/>
      <c r="V250" s="7"/>
    </row>
    <row r="251" spans="21:22" x14ac:dyDescent="0.2">
      <c r="U251" s="7"/>
      <c r="V251" s="7"/>
    </row>
    <row r="252" spans="21:22" x14ac:dyDescent="0.2">
      <c r="U252" s="7"/>
      <c r="V252" s="7"/>
    </row>
    <row r="253" spans="21:22" x14ac:dyDescent="0.2">
      <c r="U253" s="7"/>
      <c r="V253" s="7"/>
    </row>
    <row r="254" spans="21:22" x14ac:dyDescent="0.2">
      <c r="U254" s="7"/>
      <c r="V254" s="7"/>
    </row>
    <row r="255" spans="21:22" x14ac:dyDescent="0.2">
      <c r="U255" s="7"/>
      <c r="V255" s="7"/>
    </row>
    <row r="256" spans="21:22" x14ac:dyDescent="0.2">
      <c r="U256" s="7"/>
      <c r="V256" s="7"/>
    </row>
    <row r="257" spans="21:22" x14ac:dyDescent="0.2">
      <c r="U257" s="7"/>
      <c r="V257" s="7"/>
    </row>
    <row r="258" spans="21:22" x14ac:dyDescent="0.2">
      <c r="U258" s="7"/>
      <c r="V258" s="7"/>
    </row>
    <row r="259" spans="21:22" x14ac:dyDescent="0.2">
      <c r="U259" s="7"/>
      <c r="V259" s="7"/>
    </row>
    <row r="260" spans="21:22" x14ac:dyDescent="0.2">
      <c r="U260" s="7"/>
      <c r="V260" s="7"/>
    </row>
    <row r="261" spans="21:22" x14ac:dyDescent="0.2">
      <c r="U261" s="7"/>
      <c r="V261" s="7"/>
    </row>
    <row r="262" spans="21:22" x14ac:dyDescent="0.2">
      <c r="U262" s="7"/>
      <c r="V262" s="7"/>
    </row>
    <row r="263" spans="21:22" x14ac:dyDescent="0.2">
      <c r="U263" s="7"/>
      <c r="V263" s="7"/>
    </row>
    <row r="264" spans="21:22" x14ac:dyDescent="0.2">
      <c r="U264" s="7"/>
      <c r="V264" s="7"/>
    </row>
    <row r="265" spans="21:22" x14ac:dyDescent="0.2">
      <c r="U265" s="7"/>
      <c r="V265" s="7"/>
    </row>
    <row r="266" spans="21:22" x14ac:dyDescent="0.2">
      <c r="U266" s="7"/>
      <c r="V266" s="7"/>
    </row>
    <row r="267" spans="21:22" x14ac:dyDescent="0.2">
      <c r="U267" s="7"/>
      <c r="V267" s="7"/>
    </row>
    <row r="268" spans="21:22" x14ac:dyDescent="0.2">
      <c r="U268" s="7"/>
      <c r="V268" s="7"/>
    </row>
    <row r="269" spans="21:22" x14ac:dyDescent="0.2">
      <c r="U269" s="7"/>
      <c r="V269" s="7"/>
    </row>
    <row r="270" spans="21:22" x14ac:dyDescent="0.2">
      <c r="U270" s="7"/>
      <c r="V270" s="7"/>
    </row>
    <row r="271" spans="21:22" x14ac:dyDescent="0.2">
      <c r="U271" s="7"/>
      <c r="V271" s="7"/>
    </row>
    <row r="272" spans="21:22" x14ac:dyDescent="0.2">
      <c r="U272" s="7"/>
      <c r="V272" s="7"/>
    </row>
    <row r="273" spans="21:22" x14ac:dyDescent="0.2">
      <c r="U273" s="7"/>
      <c r="V273" s="7"/>
    </row>
    <row r="274" spans="21:22" x14ac:dyDescent="0.2">
      <c r="U274" s="7"/>
      <c r="V274" s="7"/>
    </row>
    <row r="275" spans="21:22" x14ac:dyDescent="0.2">
      <c r="U275" s="7"/>
      <c r="V275" s="7"/>
    </row>
    <row r="276" spans="21:22" x14ac:dyDescent="0.2">
      <c r="U276" s="7"/>
      <c r="V276" s="7"/>
    </row>
    <row r="277" spans="21:22" x14ac:dyDescent="0.2">
      <c r="U277" s="7"/>
      <c r="V277" s="7"/>
    </row>
    <row r="278" spans="21:22" x14ac:dyDescent="0.2">
      <c r="U278" s="7"/>
      <c r="V278" s="7"/>
    </row>
    <row r="279" spans="21:22" x14ac:dyDescent="0.2">
      <c r="U279" s="7"/>
      <c r="V279" s="7"/>
    </row>
    <row r="280" spans="21:22" x14ac:dyDescent="0.2">
      <c r="U280" s="7"/>
      <c r="V280" s="7"/>
    </row>
    <row r="281" spans="21:22" x14ac:dyDescent="0.2">
      <c r="U281" s="7"/>
      <c r="V281" s="7"/>
    </row>
    <row r="282" spans="21:22" x14ac:dyDescent="0.2">
      <c r="U282" s="7"/>
      <c r="V282" s="7"/>
    </row>
    <row r="283" spans="21:22" x14ac:dyDescent="0.2">
      <c r="U283" s="7"/>
      <c r="V283" s="7"/>
    </row>
    <row r="284" spans="21:22" x14ac:dyDescent="0.2">
      <c r="U284" s="7"/>
      <c r="V284" s="7"/>
    </row>
    <row r="285" spans="21:22" x14ac:dyDescent="0.2">
      <c r="U285" s="7"/>
      <c r="V285" s="7"/>
    </row>
    <row r="286" spans="21:22" x14ac:dyDescent="0.2">
      <c r="U286" s="7"/>
      <c r="V286" s="7"/>
    </row>
    <row r="287" spans="21:22" x14ac:dyDescent="0.2">
      <c r="U287" s="7"/>
      <c r="V287" s="7"/>
    </row>
    <row r="288" spans="21:22" x14ac:dyDescent="0.2">
      <c r="U288" s="7"/>
      <c r="V288" s="7"/>
    </row>
    <row r="289" spans="21:22" x14ac:dyDescent="0.2">
      <c r="U289" s="7"/>
      <c r="V289" s="7"/>
    </row>
    <row r="290" spans="21:22" x14ac:dyDescent="0.2">
      <c r="U290" s="7"/>
      <c r="V290" s="7"/>
    </row>
    <row r="291" spans="21:22" x14ac:dyDescent="0.2">
      <c r="U291" s="7"/>
      <c r="V291" s="7"/>
    </row>
    <row r="292" spans="21:22" x14ac:dyDescent="0.2">
      <c r="U292" s="7"/>
      <c r="V292" s="7"/>
    </row>
    <row r="293" spans="21:22" x14ac:dyDescent="0.2">
      <c r="U293" s="7"/>
      <c r="V293" s="7"/>
    </row>
    <row r="294" spans="21:22" x14ac:dyDescent="0.2">
      <c r="U294" s="7"/>
      <c r="V294" s="7"/>
    </row>
    <row r="295" spans="21:22" x14ac:dyDescent="0.2">
      <c r="U295" s="7"/>
      <c r="V295" s="7"/>
    </row>
    <row r="296" spans="21:22" x14ac:dyDescent="0.2">
      <c r="U296" s="7"/>
      <c r="V296" s="7"/>
    </row>
    <row r="297" spans="21:22" x14ac:dyDescent="0.2">
      <c r="U297" s="7"/>
      <c r="V297" s="7"/>
    </row>
    <row r="298" spans="21:22" x14ac:dyDescent="0.2">
      <c r="U298" s="7"/>
      <c r="V298" s="7"/>
    </row>
    <row r="299" spans="21:22" x14ac:dyDescent="0.2">
      <c r="U299" s="7"/>
      <c r="V299" s="7"/>
    </row>
    <row r="300" spans="21:22" x14ac:dyDescent="0.2">
      <c r="U300" s="7"/>
      <c r="V300" s="7"/>
    </row>
    <row r="301" spans="21:22" x14ac:dyDescent="0.2">
      <c r="U301" s="7"/>
      <c r="V301" s="7"/>
    </row>
    <row r="302" spans="21:22" x14ac:dyDescent="0.2">
      <c r="U302" s="7"/>
      <c r="V302" s="7"/>
    </row>
    <row r="303" spans="21:22" x14ac:dyDescent="0.2">
      <c r="U303" s="7"/>
      <c r="V303" s="7"/>
    </row>
    <row r="304" spans="21:22" x14ac:dyDescent="0.2">
      <c r="U304" s="7"/>
      <c r="V304" s="7"/>
    </row>
    <row r="305" spans="21:22" x14ac:dyDescent="0.2">
      <c r="U305" s="7"/>
      <c r="V305" s="7"/>
    </row>
    <row r="306" spans="21:22" x14ac:dyDescent="0.2">
      <c r="U306" s="7"/>
      <c r="V306" s="7"/>
    </row>
    <row r="307" spans="21:22" x14ac:dyDescent="0.2">
      <c r="U307" s="7"/>
      <c r="V307" s="7"/>
    </row>
    <row r="308" spans="21:22" x14ac:dyDescent="0.2">
      <c r="U308" s="7"/>
      <c r="V308" s="7"/>
    </row>
    <row r="309" spans="21:22" x14ac:dyDescent="0.2">
      <c r="U309" s="7"/>
      <c r="V309" s="7"/>
    </row>
    <row r="310" spans="21:22" x14ac:dyDescent="0.2">
      <c r="U310" s="7"/>
      <c r="V310" s="7"/>
    </row>
    <row r="311" spans="21:22" x14ac:dyDescent="0.2">
      <c r="U311" s="7"/>
      <c r="V311" s="7"/>
    </row>
    <row r="312" spans="21:22" x14ac:dyDescent="0.2">
      <c r="U312" s="7"/>
      <c r="V312" s="7"/>
    </row>
    <row r="313" spans="21:22" x14ac:dyDescent="0.2">
      <c r="U313" s="7"/>
      <c r="V313" s="7"/>
    </row>
    <row r="314" spans="21:22" x14ac:dyDescent="0.2">
      <c r="U314" s="7"/>
      <c r="V314" s="7"/>
    </row>
    <row r="315" spans="21:22" x14ac:dyDescent="0.2">
      <c r="U315" s="7"/>
      <c r="V315" s="7"/>
    </row>
    <row r="316" spans="21:22" x14ac:dyDescent="0.2">
      <c r="U316" s="7"/>
      <c r="V316" s="7"/>
    </row>
    <row r="317" spans="21:22" x14ac:dyDescent="0.2">
      <c r="U317" s="7"/>
      <c r="V317" s="7"/>
    </row>
    <row r="318" spans="21:22" x14ac:dyDescent="0.2">
      <c r="U318" s="7"/>
      <c r="V318" s="7"/>
    </row>
    <row r="319" spans="21:22" x14ac:dyDescent="0.2">
      <c r="U319" s="7"/>
      <c r="V319" s="7"/>
    </row>
    <row r="320" spans="21:22" x14ac:dyDescent="0.2">
      <c r="U320" s="7"/>
      <c r="V320" s="7"/>
    </row>
    <row r="321" spans="21:22" x14ac:dyDescent="0.2">
      <c r="U321" s="7"/>
      <c r="V321" s="7"/>
    </row>
    <row r="322" spans="21:22" x14ac:dyDescent="0.2">
      <c r="U322" s="7"/>
      <c r="V322" s="7"/>
    </row>
    <row r="323" spans="21:22" x14ac:dyDescent="0.2">
      <c r="U323" s="7"/>
      <c r="V323" s="7"/>
    </row>
    <row r="324" spans="21:22" x14ac:dyDescent="0.2">
      <c r="U324" s="7"/>
      <c r="V324" s="7"/>
    </row>
    <row r="325" spans="21:22" x14ac:dyDescent="0.2">
      <c r="U325" s="7"/>
      <c r="V325" s="7"/>
    </row>
    <row r="326" spans="21:22" x14ac:dyDescent="0.2">
      <c r="U326" s="7"/>
      <c r="V326" s="7"/>
    </row>
    <row r="327" spans="21:22" x14ac:dyDescent="0.2">
      <c r="U327" s="7"/>
      <c r="V327" s="7"/>
    </row>
    <row r="328" spans="21:22" x14ac:dyDescent="0.2">
      <c r="U328" s="7"/>
      <c r="V328" s="7"/>
    </row>
    <row r="329" spans="21:22" x14ac:dyDescent="0.2">
      <c r="U329" s="7"/>
      <c r="V329" s="7"/>
    </row>
    <row r="330" spans="21:22" x14ac:dyDescent="0.2">
      <c r="U330" s="7"/>
      <c r="V330" s="7"/>
    </row>
    <row r="331" spans="21:22" x14ac:dyDescent="0.2">
      <c r="U331" s="7"/>
      <c r="V331" s="7"/>
    </row>
    <row r="332" spans="21:22" x14ac:dyDescent="0.2">
      <c r="U332" s="7"/>
      <c r="V332" s="7"/>
    </row>
    <row r="333" spans="21:22" x14ac:dyDescent="0.2">
      <c r="U333" s="7"/>
      <c r="V333" s="7"/>
    </row>
    <row r="334" spans="21:22" x14ac:dyDescent="0.2">
      <c r="U334" s="7"/>
      <c r="V334" s="7"/>
    </row>
    <row r="335" spans="21:22" x14ac:dyDescent="0.2">
      <c r="U335" s="7"/>
      <c r="V335" s="7"/>
    </row>
    <row r="336" spans="21:22" x14ac:dyDescent="0.2">
      <c r="U336" s="7"/>
      <c r="V336" s="7"/>
    </row>
    <row r="337" spans="21:22" x14ac:dyDescent="0.2">
      <c r="U337" s="7"/>
      <c r="V337" s="7"/>
    </row>
    <row r="338" spans="21:22" x14ac:dyDescent="0.2">
      <c r="U338" s="7"/>
      <c r="V338" s="7"/>
    </row>
    <row r="339" spans="21:22" x14ac:dyDescent="0.2">
      <c r="U339" s="7"/>
      <c r="V339" s="7"/>
    </row>
  </sheetData>
  <mergeCells count="3">
    <mergeCell ref="B1:H1"/>
    <mergeCell ref="J1:P1"/>
    <mergeCell ref="R1:Y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 r:id="rId1"/>
  <headerFooter alignWithMargins="0">
    <oddHeader xml:space="preserve">&amp;C&amp;16Antal donatorer och transplantationer utförda i Sverige&amp;R&amp;11 2023-03-31 
</oddHeader>
    <oddFooter>&amp;CSida 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52"/>
  </sheetPr>
  <dimension ref="A1:H78"/>
  <sheetViews>
    <sheetView showGridLines="0" zoomScaleNormal="100" workbookViewId="0">
      <pane ySplit="2" topLeftCell="A46" activePane="bottomLeft" state="frozen"/>
      <selection activeCell="K87" sqref="K87"/>
      <selection pane="bottomLeft" activeCell="D63" sqref="D63"/>
    </sheetView>
  </sheetViews>
  <sheetFormatPr defaultColWidth="8.85546875" defaultRowHeight="12.75" x14ac:dyDescent="0.2"/>
  <cols>
    <col min="1" max="1" width="6.140625" style="1" customWidth="1"/>
    <col min="2" max="7" width="10.5703125" customWidth="1"/>
  </cols>
  <sheetData>
    <row r="1" spans="1:7" s="6" customFormat="1" ht="20.25" customHeight="1" x14ac:dyDescent="0.2">
      <c r="A1" s="16"/>
      <c r="B1" s="440" t="s">
        <v>6</v>
      </c>
      <c r="C1" s="437"/>
      <c r="D1" s="434" t="s">
        <v>12</v>
      </c>
      <c r="E1" s="435"/>
      <c r="F1" s="434" t="s">
        <v>8</v>
      </c>
      <c r="G1" s="436"/>
    </row>
    <row r="2" spans="1:7" s="2" customFormat="1" ht="25.5" customHeight="1" thickBot="1" x14ac:dyDescent="0.25">
      <c r="A2" s="5" t="s">
        <v>9</v>
      </c>
      <c r="B2" s="3" t="s">
        <v>0</v>
      </c>
      <c r="C2" s="4" t="s">
        <v>1</v>
      </c>
      <c r="D2" s="3" t="s">
        <v>0</v>
      </c>
      <c r="E2" s="4" t="s">
        <v>1</v>
      </c>
      <c r="F2" s="3" t="s">
        <v>0</v>
      </c>
      <c r="G2" s="4" t="s">
        <v>1</v>
      </c>
    </row>
    <row r="3" spans="1:7" ht="17.25" customHeight="1" thickTop="1" x14ac:dyDescent="0.2">
      <c r="A3" s="17">
        <v>1964</v>
      </c>
      <c r="B3" s="8"/>
      <c r="C3" s="9"/>
      <c r="D3" s="8"/>
      <c r="E3" s="9"/>
      <c r="F3" s="8"/>
      <c r="G3" s="9"/>
    </row>
    <row r="4" spans="1:7" x14ac:dyDescent="0.2">
      <c r="A4" s="17">
        <v>1965</v>
      </c>
      <c r="B4" s="8"/>
      <c r="C4" s="33"/>
      <c r="D4" s="8"/>
      <c r="E4" s="10"/>
      <c r="F4" s="8"/>
      <c r="G4" s="11"/>
    </row>
    <row r="5" spans="1:7" x14ac:dyDescent="0.2">
      <c r="A5" s="17">
        <v>1966</v>
      </c>
      <c r="B5" s="8"/>
      <c r="C5" s="33"/>
      <c r="D5" s="8"/>
      <c r="E5" s="10"/>
      <c r="F5" s="8"/>
      <c r="G5" s="11"/>
    </row>
    <row r="6" spans="1:7" x14ac:dyDescent="0.2">
      <c r="A6" s="17">
        <v>1967</v>
      </c>
      <c r="B6" s="8"/>
      <c r="C6" s="33"/>
      <c r="D6" s="8"/>
      <c r="E6" s="10"/>
      <c r="F6" s="8"/>
      <c r="G6" s="11"/>
    </row>
    <row r="7" spans="1:7" x14ac:dyDescent="0.2">
      <c r="A7" s="17">
        <v>1968</v>
      </c>
      <c r="B7" s="8"/>
      <c r="C7" s="33"/>
      <c r="D7" s="8"/>
      <c r="E7" s="10"/>
      <c r="F7" s="8"/>
      <c r="G7" s="11"/>
    </row>
    <row r="8" spans="1:7" x14ac:dyDescent="0.2">
      <c r="A8" s="17">
        <v>1969</v>
      </c>
      <c r="B8" s="8"/>
      <c r="C8" s="33"/>
      <c r="D8" s="8"/>
      <c r="E8" s="10"/>
      <c r="F8" s="8"/>
      <c r="G8" s="11"/>
    </row>
    <row r="9" spans="1:7" x14ac:dyDescent="0.2">
      <c r="A9" s="17">
        <v>1970</v>
      </c>
      <c r="B9" s="8"/>
      <c r="C9" s="33"/>
      <c r="D9" s="8"/>
      <c r="E9" s="10"/>
      <c r="F9" s="8"/>
      <c r="G9" s="11"/>
    </row>
    <row r="10" spans="1:7" x14ac:dyDescent="0.2">
      <c r="A10" s="17">
        <v>1971</v>
      </c>
      <c r="B10" s="8"/>
      <c r="C10" s="33"/>
      <c r="D10" s="8"/>
      <c r="E10" s="10"/>
      <c r="F10" s="8"/>
      <c r="G10" s="11"/>
    </row>
    <row r="11" spans="1:7" x14ac:dyDescent="0.2">
      <c r="A11" s="17">
        <v>1972</v>
      </c>
      <c r="B11" s="8"/>
      <c r="C11" s="33"/>
      <c r="D11" s="8"/>
      <c r="E11" s="10"/>
      <c r="F11" s="8"/>
      <c r="G11" s="11"/>
    </row>
    <row r="12" spans="1:7" x14ac:dyDescent="0.2">
      <c r="A12" s="17">
        <v>1973</v>
      </c>
      <c r="B12" s="8"/>
      <c r="C12" s="33"/>
      <c r="D12" s="8"/>
      <c r="E12" s="10"/>
      <c r="F12" s="8"/>
      <c r="G12" s="11"/>
    </row>
    <row r="13" spans="1:7" x14ac:dyDescent="0.2">
      <c r="A13" s="17">
        <v>1974</v>
      </c>
      <c r="B13" s="8"/>
      <c r="C13" s="33"/>
      <c r="D13" s="8"/>
      <c r="E13" s="10"/>
      <c r="F13" s="8"/>
      <c r="G13" s="11"/>
    </row>
    <row r="14" spans="1:7" x14ac:dyDescent="0.2">
      <c r="A14" s="17">
        <v>1975</v>
      </c>
      <c r="B14" s="8"/>
      <c r="C14" s="33"/>
      <c r="D14" s="8"/>
      <c r="E14" s="10"/>
      <c r="F14" s="8"/>
      <c r="G14" s="11"/>
    </row>
    <row r="15" spans="1:7" x14ac:dyDescent="0.2">
      <c r="A15" s="17">
        <v>1976</v>
      </c>
      <c r="B15" s="8"/>
      <c r="C15" s="33"/>
      <c r="D15" s="8"/>
      <c r="E15" s="10"/>
      <c r="F15" s="8"/>
      <c r="G15" s="11"/>
    </row>
    <row r="16" spans="1:7" x14ac:dyDescent="0.2">
      <c r="A16" s="17">
        <v>1977</v>
      </c>
      <c r="B16" s="8"/>
      <c r="C16" s="33"/>
      <c r="D16" s="8"/>
      <c r="E16" s="10"/>
      <c r="F16" s="8"/>
      <c r="G16" s="11"/>
    </row>
    <row r="17" spans="1:7" x14ac:dyDescent="0.2">
      <c r="A17" s="17">
        <v>1978</v>
      </c>
      <c r="B17" s="8"/>
      <c r="C17" s="33"/>
      <c r="D17" s="8"/>
      <c r="E17" s="10"/>
      <c r="F17" s="8"/>
      <c r="G17" s="11"/>
    </row>
    <row r="18" spans="1:7" x14ac:dyDescent="0.2">
      <c r="A18" s="17">
        <v>1979</v>
      </c>
      <c r="B18" s="8"/>
      <c r="C18" s="33"/>
      <c r="D18" s="8"/>
      <c r="E18" s="10"/>
      <c r="F18" s="8"/>
      <c r="G18" s="11"/>
    </row>
    <row r="19" spans="1:7" x14ac:dyDescent="0.2">
      <c r="A19" s="17">
        <v>1980</v>
      </c>
      <c r="B19" s="8"/>
      <c r="C19" s="33"/>
      <c r="D19" s="8"/>
      <c r="E19" s="10"/>
      <c r="F19" s="8"/>
      <c r="G19" s="11"/>
    </row>
    <row r="20" spans="1:7" x14ac:dyDescent="0.2">
      <c r="A20" s="17">
        <v>1981</v>
      </c>
      <c r="B20" s="8"/>
      <c r="C20" s="33"/>
      <c r="D20" s="8"/>
      <c r="E20" s="10"/>
      <c r="F20" s="8"/>
      <c r="G20" s="11"/>
    </row>
    <row r="21" spans="1:7" x14ac:dyDescent="0.2">
      <c r="A21" s="17">
        <v>1982</v>
      </c>
      <c r="B21" s="8"/>
      <c r="C21" s="33"/>
      <c r="D21" s="8"/>
      <c r="E21" s="10"/>
      <c r="F21" s="8"/>
      <c r="G21" s="11"/>
    </row>
    <row r="22" spans="1:7" x14ac:dyDescent="0.2">
      <c r="A22" s="17">
        <v>1983</v>
      </c>
      <c r="B22" s="8"/>
      <c r="C22" s="33"/>
      <c r="D22" s="8"/>
      <c r="E22" s="10"/>
      <c r="F22" s="8"/>
      <c r="G22" s="11"/>
    </row>
    <row r="23" spans="1:7" x14ac:dyDescent="0.2">
      <c r="A23" s="17">
        <v>1984</v>
      </c>
      <c r="B23" s="8"/>
      <c r="C23" s="33"/>
      <c r="D23" s="8"/>
      <c r="E23" s="10"/>
      <c r="F23" s="8"/>
      <c r="G23" s="11"/>
    </row>
    <row r="24" spans="1:7" x14ac:dyDescent="0.2">
      <c r="A24" s="17">
        <v>1985</v>
      </c>
      <c r="B24" s="8"/>
      <c r="C24" s="33"/>
      <c r="D24" s="8"/>
      <c r="E24" s="10"/>
      <c r="F24" s="8"/>
      <c r="G24" s="11"/>
    </row>
    <row r="25" spans="1:7" x14ac:dyDescent="0.2">
      <c r="A25" s="17">
        <v>1986</v>
      </c>
      <c r="B25" s="8"/>
      <c r="C25" s="33"/>
      <c r="D25" s="8"/>
      <c r="E25" s="10"/>
      <c r="F25" s="8"/>
      <c r="G25" s="11"/>
    </row>
    <row r="26" spans="1:7" x14ac:dyDescent="0.2">
      <c r="A26" s="17">
        <v>1987</v>
      </c>
      <c r="B26" s="8"/>
      <c r="C26" s="33"/>
      <c r="D26" s="8"/>
      <c r="E26" s="10"/>
      <c r="F26" s="8"/>
      <c r="G26" s="11"/>
    </row>
    <row r="27" spans="1:7" x14ac:dyDescent="0.2">
      <c r="A27" s="17">
        <v>1988</v>
      </c>
      <c r="B27" s="8"/>
      <c r="C27" s="33"/>
      <c r="D27" s="8"/>
      <c r="E27" s="10"/>
      <c r="F27" s="8"/>
      <c r="G27" s="11"/>
    </row>
    <row r="28" spans="1:7" x14ac:dyDescent="0.2">
      <c r="A28" s="17">
        <v>1989</v>
      </c>
      <c r="B28" s="8"/>
      <c r="C28" s="33"/>
      <c r="D28" s="8"/>
      <c r="E28" s="10"/>
      <c r="F28" s="8"/>
      <c r="G28" s="11"/>
    </row>
    <row r="29" spans="1:7" x14ac:dyDescent="0.2">
      <c r="A29" s="17">
        <v>1990</v>
      </c>
      <c r="B29" s="51">
        <v>1</v>
      </c>
      <c r="C29" s="52">
        <f>C28+B29</f>
        <v>1</v>
      </c>
      <c r="D29" s="51"/>
      <c r="E29" s="53"/>
      <c r="F29" s="51">
        <f>B29+D29</f>
        <v>1</v>
      </c>
      <c r="G29" s="54">
        <f>G28+F29</f>
        <v>1</v>
      </c>
    </row>
    <row r="30" spans="1:7" x14ac:dyDescent="0.2">
      <c r="A30" s="17">
        <v>1991</v>
      </c>
      <c r="B30" s="51">
        <v>1</v>
      </c>
      <c r="C30" s="52">
        <f t="shared" ref="C30:C44" si="0">C29+B30</f>
        <v>2</v>
      </c>
      <c r="D30" s="51"/>
      <c r="E30" s="53"/>
      <c r="F30" s="51">
        <f t="shared" ref="F30:F42" si="1">B30+D30</f>
        <v>1</v>
      </c>
      <c r="G30" s="54">
        <f t="shared" ref="G30:G43" si="2">G29+F30</f>
        <v>2</v>
      </c>
    </row>
    <row r="31" spans="1:7" x14ac:dyDescent="0.2">
      <c r="A31" s="17">
        <v>1992</v>
      </c>
      <c r="B31" s="51">
        <v>6</v>
      </c>
      <c r="C31" s="52">
        <f t="shared" si="0"/>
        <v>8</v>
      </c>
      <c r="D31" s="51"/>
      <c r="E31" s="53"/>
      <c r="F31" s="51">
        <f t="shared" si="1"/>
        <v>6</v>
      </c>
      <c r="G31" s="54">
        <f t="shared" si="2"/>
        <v>8</v>
      </c>
    </row>
    <row r="32" spans="1:7" x14ac:dyDescent="0.2">
      <c r="A32" s="17">
        <v>1993</v>
      </c>
      <c r="B32" s="51">
        <v>9</v>
      </c>
      <c r="C32" s="52">
        <f t="shared" si="0"/>
        <v>17</v>
      </c>
      <c r="D32" s="51">
        <v>1</v>
      </c>
      <c r="E32" s="53">
        <f>E31+D32</f>
        <v>1</v>
      </c>
      <c r="F32" s="51">
        <f t="shared" si="1"/>
        <v>10</v>
      </c>
      <c r="G32" s="54">
        <f t="shared" si="2"/>
        <v>18</v>
      </c>
    </row>
    <row r="33" spans="1:7" x14ac:dyDescent="0.2">
      <c r="A33" s="17">
        <v>1994</v>
      </c>
      <c r="B33" s="51">
        <v>5</v>
      </c>
      <c r="C33" s="52">
        <f t="shared" si="0"/>
        <v>22</v>
      </c>
      <c r="D33" s="51"/>
      <c r="E33" s="53">
        <f t="shared" ref="E33:E43" si="3">E32+D33</f>
        <v>1</v>
      </c>
      <c r="F33" s="51">
        <f t="shared" si="1"/>
        <v>5</v>
      </c>
      <c r="G33" s="54">
        <f t="shared" si="2"/>
        <v>23</v>
      </c>
    </row>
    <row r="34" spans="1:7" x14ac:dyDescent="0.2">
      <c r="A34" s="17">
        <v>1995</v>
      </c>
      <c r="B34" s="51">
        <v>3</v>
      </c>
      <c r="C34" s="52">
        <f t="shared" si="0"/>
        <v>25</v>
      </c>
      <c r="D34" s="51"/>
      <c r="E34" s="53">
        <f t="shared" si="3"/>
        <v>1</v>
      </c>
      <c r="F34" s="51">
        <f t="shared" si="1"/>
        <v>3</v>
      </c>
      <c r="G34" s="54">
        <f t="shared" si="2"/>
        <v>26</v>
      </c>
    </row>
    <row r="35" spans="1:7" x14ac:dyDescent="0.2">
      <c r="A35" s="17">
        <v>1996</v>
      </c>
      <c r="B35" s="51">
        <v>2</v>
      </c>
      <c r="C35" s="52">
        <f t="shared" si="0"/>
        <v>27</v>
      </c>
      <c r="D35" s="51"/>
      <c r="E35" s="53">
        <f t="shared" si="3"/>
        <v>1</v>
      </c>
      <c r="F35" s="51">
        <f t="shared" si="1"/>
        <v>2</v>
      </c>
      <c r="G35" s="54">
        <f t="shared" si="2"/>
        <v>28</v>
      </c>
    </row>
    <row r="36" spans="1:7" x14ac:dyDescent="0.2">
      <c r="A36" s="17">
        <v>1997</v>
      </c>
      <c r="B36" s="51">
        <v>2</v>
      </c>
      <c r="C36" s="52">
        <f t="shared" si="0"/>
        <v>29</v>
      </c>
      <c r="D36" s="51">
        <v>2</v>
      </c>
      <c r="E36" s="53">
        <f t="shared" si="3"/>
        <v>3</v>
      </c>
      <c r="F36" s="51">
        <f t="shared" si="1"/>
        <v>4</v>
      </c>
      <c r="G36" s="54">
        <f t="shared" si="2"/>
        <v>32</v>
      </c>
    </row>
    <row r="37" spans="1:7" x14ac:dyDescent="0.2">
      <c r="A37" s="17">
        <v>1998</v>
      </c>
      <c r="B37" s="51"/>
      <c r="C37" s="52">
        <f t="shared" si="0"/>
        <v>29</v>
      </c>
      <c r="D37" s="51"/>
      <c r="E37" s="53">
        <f t="shared" si="3"/>
        <v>3</v>
      </c>
      <c r="F37" s="51"/>
      <c r="G37" s="54">
        <f t="shared" si="2"/>
        <v>32</v>
      </c>
    </row>
    <row r="38" spans="1:7" x14ac:dyDescent="0.2">
      <c r="A38" s="18">
        <v>1999</v>
      </c>
      <c r="B38" s="55">
        <v>2</v>
      </c>
      <c r="C38" s="56">
        <f t="shared" si="0"/>
        <v>31</v>
      </c>
      <c r="D38" s="55">
        <v>1</v>
      </c>
      <c r="E38" s="57">
        <f t="shared" si="3"/>
        <v>4</v>
      </c>
      <c r="F38" s="55">
        <f t="shared" si="1"/>
        <v>3</v>
      </c>
      <c r="G38" s="58">
        <f t="shared" si="2"/>
        <v>35</v>
      </c>
    </row>
    <row r="39" spans="1:7" s="7" customFormat="1" ht="18.75" customHeight="1" x14ac:dyDescent="0.2">
      <c r="A39" s="17">
        <v>2000</v>
      </c>
      <c r="B39" s="51">
        <v>1</v>
      </c>
      <c r="C39" s="52">
        <f t="shared" si="0"/>
        <v>32</v>
      </c>
      <c r="D39" s="51">
        <v>1</v>
      </c>
      <c r="E39" s="53">
        <f t="shared" si="3"/>
        <v>5</v>
      </c>
      <c r="F39" s="51">
        <f t="shared" si="1"/>
        <v>2</v>
      </c>
      <c r="G39" s="54">
        <f t="shared" si="2"/>
        <v>37</v>
      </c>
    </row>
    <row r="40" spans="1:7" x14ac:dyDescent="0.2">
      <c r="A40" s="17">
        <v>2001</v>
      </c>
      <c r="B40" s="51">
        <v>1</v>
      </c>
      <c r="C40" s="52">
        <f t="shared" si="0"/>
        <v>33</v>
      </c>
      <c r="D40" s="51"/>
      <c r="E40" s="53">
        <f t="shared" si="3"/>
        <v>5</v>
      </c>
      <c r="F40" s="51">
        <f t="shared" si="1"/>
        <v>1</v>
      </c>
      <c r="G40" s="54">
        <f t="shared" si="2"/>
        <v>38</v>
      </c>
    </row>
    <row r="41" spans="1:7" x14ac:dyDescent="0.2">
      <c r="A41" s="17">
        <v>2002</v>
      </c>
      <c r="B41" s="51">
        <v>1</v>
      </c>
      <c r="C41" s="52">
        <f t="shared" si="0"/>
        <v>34</v>
      </c>
      <c r="D41" s="51"/>
      <c r="E41" s="53">
        <f t="shared" si="3"/>
        <v>5</v>
      </c>
      <c r="F41" s="51">
        <f t="shared" si="1"/>
        <v>1</v>
      </c>
      <c r="G41" s="54">
        <f t="shared" si="2"/>
        <v>39</v>
      </c>
    </row>
    <row r="42" spans="1:7" x14ac:dyDescent="0.2">
      <c r="A42" s="17">
        <v>2003</v>
      </c>
      <c r="B42" s="51">
        <v>1</v>
      </c>
      <c r="C42" s="52">
        <f t="shared" si="0"/>
        <v>35</v>
      </c>
      <c r="D42" s="51">
        <v>1</v>
      </c>
      <c r="E42" s="53">
        <f t="shared" si="3"/>
        <v>6</v>
      </c>
      <c r="F42" s="51">
        <f t="shared" si="1"/>
        <v>2</v>
      </c>
      <c r="G42" s="54">
        <f t="shared" si="2"/>
        <v>41</v>
      </c>
    </row>
    <row r="43" spans="1:7" x14ac:dyDescent="0.2">
      <c r="A43" s="17">
        <v>2004</v>
      </c>
      <c r="B43" s="51">
        <f>0+0</f>
        <v>0</v>
      </c>
      <c r="C43" s="52">
        <f t="shared" si="0"/>
        <v>35</v>
      </c>
      <c r="D43" s="51">
        <f>0+0</f>
        <v>0</v>
      </c>
      <c r="E43" s="53">
        <f t="shared" si="3"/>
        <v>6</v>
      </c>
      <c r="F43" s="51">
        <f t="shared" ref="F43:F48" si="4">B43+D43</f>
        <v>0</v>
      </c>
      <c r="G43" s="54">
        <f t="shared" si="2"/>
        <v>41</v>
      </c>
    </row>
    <row r="44" spans="1:7" s="67" customFormat="1" x14ac:dyDescent="0.2">
      <c r="A44" s="17">
        <v>2005</v>
      </c>
      <c r="B44" s="51">
        <f>0+0+0+0</f>
        <v>0</v>
      </c>
      <c r="C44" s="52">
        <f t="shared" si="0"/>
        <v>35</v>
      </c>
      <c r="D44" s="51">
        <f>0+0+0+0</f>
        <v>0</v>
      </c>
      <c r="E44" s="53">
        <f t="shared" ref="E44:E49" si="5">E43+D44</f>
        <v>6</v>
      </c>
      <c r="F44" s="51">
        <f t="shared" si="4"/>
        <v>0</v>
      </c>
      <c r="G44" s="54">
        <f t="shared" ref="G44:G49" si="6">G43+F44</f>
        <v>41</v>
      </c>
    </row>
    <row r="45" spans="1:7" s="67" customFormat="1" x14ac:dyDescent="0.2">
      <c r="A45" s="17">
        <v>2006</v>
      </c>
      <c r="B45" s="51">
        <f>0+0+0+0</f>
        <v>0</v>
      </c>
      <c r="C45" s="52">
        <f t="shared" ref="C45:C50" si="7">C44+B45</f>
        <v>35</v>
      </c>
      <c r="D45" s="51">
        <f>0+0+0+0</f>
        <v>0</v>
      </c>
      <c r="E45" s="53">
        <f t="shared" si="5"/>
        <v>6</v>
      </c>
      <c r="F45" s="51">
        <f t="shared" si="4"/>
        <v>0</v>
      </c>
      <c r="G45" s="54">
        <f t="shared" si="6"/>
        <v>41</v>
      </c>
    </row>
    <row r="46" spans="1:7" s="67" customFormat="1" x14ac:dyDescent="0.2">
      <c r="A46" s="17">
        <v>2007</v>
      </c>
      <c r="B46" s="51">
        <f>0+0+0+0</f>
        <v>0</v>
      </c>
      <c r="C46" s="52">
        <f t="shared" si="7"/>
        <v>35</v>
      </c>
      <c r="D46" s="51">
        <f>0+0+0+0</f>
        <v>0</v>
      </c>
      <c r="E46" s="53">
        <f t="shared" si="5"/>
        <v>6</v>
      </c>
      <c r="F46" s="51">
        <f t="shared" si="4"/>
        <v>0</v>
      </c>
      <c r="G46" s="54">
        <f t="shared" si="6"/>
        <v>41</v>
      </c>
    </row>
    <row r="47" spans="1:7" s="67" customFormat="1" x14ac:dyDescent="0.2">
      <c r="A47" s="17">
        <v>2008</v>
      </c>
      <c r="B47" s="51">
        <v>1</v>
      </c>
      <c r="C47" s="52">
        <f t="shared" si="7"/>
        <v>36</v>
      </c>
      <c r="D47" s="51">
        <f>0+0+0+0</f>
        <v>0</v>
      </c>
      <c r="E47" s="53">
        <f t="shared" si="5"/>
        <v>6</v>
      </c>
      <c r="F47" s="51">
        <f t="shared" si="4"/>
        <v>1</v>
      </c>
      <c r="G47" s="54">
        <f t="shared" si="6"/>
        <v>42</v>
      </c>
    </row>
    <row r="48" spans="1:7" s="67" customFormat="1" x14ac:dyDescent="0.2">
      <c r="A48" s="17">
        <v>2009</v>
      </c>
      <c r="B48" s="137">
        <f>0+0+0+0</f>
        <v>0</v>
      </c>
      <c r="C48" s="52">
        <f t="shared" si="7"/>
        <v>36</v>
      </c>
      <c r="D48" s="51">
        <f>1+0+0+0</f>
        <v>1</v>
      </c>
      <c r="E48" s="53">
        <f t="shared" si="5"/>
        <v>7</v>
      </c>
      <c r="F48" s="51">
        <f t="shared" si="4"/>
        <v>1</v>
      </c>
      <c r="G48" s="54">
        <f t="shared" si="6"/>
        <v>43</v>
      </c>
    </row>
    <row r="49" spans="1:8" s="67" customFormat="1" x14ac:dyDescent="0.2">
      <c r="A49" s="17">
        <v>2010</v>
      </c>
      <c r="B49" s="137">
        <f>0+0+0+0</f>
        <v>0</v>
      </c>
      <c r="C49" s="52">
        <f t="shared" si="7"/>
        <v>36</v>
      </c>
      <c r="D49" s="51">
        <f>0+0+0</f>
        <v>0</v>
      </c>
      <c r="E49" s="53">
        <f t="shared" si="5"/>
        <v>7</v>
      </c>
      <c r="F49" s="51">
        <f t="shared" ref="F49:F54" si="8">B49+D49</f>
        <v>0</v>
      </c>
      <c r="G49" s="54">
        <f t="shared" si="6"/>
        <v>43</v>
      </c>
    </row>
    <row r="50" spans="1:8" s="165" customFormat="1" x14ac:dyDescent="0.2">
      <c r="A50" s="157">
        <v>2011</v>
      </c>
      <c r="B50" s="163">
        <f>0+0+0+0</f>
        <v>0</v>
      </c>
      <c r="C50" s="127">
        <f t="shared" si="7"/>
        <v>36</v>
      </c>
      <c r="D50" s="161">
        <f>0+1+0+0</f>
        <v>1</v>
      </c>
      <c r="E50" s="126">
        <f t="shared" ref="E50:E55" si="9">E49+D50</f>
        <v>8</v>
      </c>
      <c r="F50" s="161">
        <f t="shared" si="8"/>
        <v>1</v>
      </c>
      <c r="G50" s="133">
        <f t="shared" ref="G50:G55" si="10">G49+F50</f>
        <v>44</v>
      </c>
    </row>
    <row r="51" spans="1:8" s="165" customFormat="1" x14ac:dyDescent="0.2">
      <c r="A51" s="157">
        <v>2012</v>
      </c>
      <c r="B51" s="163">
        <f>0+1+0+0</f>
        <v>1</v>
      </c>
      <c r="C51" s="127">
        <f t="shared" ref="C51:C56" si="11">C50+B51</f>
        <v>37</v>
      </c>
      <c r="D51" s="161">
        <f>0+0+0+0</f>
        <v>0</v>
      </c>
      <c r="E51" s="126">
        <f t="shared" si="9"/>
        <v>8</v>
      </c>
      <c r="F51" s="161">
        <f t="shared" si="8"/>
        <v>1</v>
      </c>
      <c r="G51" s="133">
        <f t="shared" si="10"/>
        <v>45</v>
      </c>
    </row>
    <row r="52" spans="1:8" s="165" customFormat="1" x14ac:dyDescent="0.2">
      <c r="A52" s="157">
        <v>2013</v>
      </c>
      <c r="B52" s="163">
        <f t="shared" ref="B52:B58" si="12">0+0+0+0</f>
        <v>0</v>
      </c>
      <c r="C52" s="127">
        <f t="shared" si="11"/>
        <v>37</v>
      </c>
      <c r="D52" s="161">
        <f>0+0+0+0</f>
        <v>0</v>
      </c>
      <c r="E52" s="126">
        <f t="shared" si="9"/>
        <v>8</v>
      </c>
      <c r="F52" s="161">
        <f t="shared" si="8"/>
        <v>0</v>
      </c>
      <c r="G52" s="133">
        <f t="shared" si="10"/>
        <v>45</v>
      </c>
    </row>
    <row r="53" spans="1:8" s="170" customFormat="1" x14ac:dyDescent="0.2">
      <c r="A53" s="157">
        <v>2014</v>
      </c>
      <c r="B53" s="163">
        <f t="shared" si="12"/>
        <v>0</v>
      </c>
      <c r="C53" s="151">
        <f t="shared" si="11"/>
        <v>37</v>
      </c>
      <c r="D53" s="161">
        <f>1+0+0+0</f>
        <v>1</v>
      </c>
      <c r="E53" s="126">
        <f t="shared" si="9"/>
        <v>9</v>
      </c>
      <c r="F53" s="161">
        <f t="shared" si="8"/>
        <v>1</v>
      </c>
      <c r="G53" s="133">
        <f t="shared" si="10"/>
        <v>46</v>
      </c>
      <c r="H53" s="165"/>
    </row>
    <row r="54" spans="1:8" s="165" customFormat="1" x14ac:dyDescent="0.2">
      <c r="A54" s="157">
        <v>2015</v>
      </c>
      <c r="B54" s="163">
        <f t="shared" si="12"/>
        <v>0</v>
      </c>
      <c r="C54" s="127">
        <f t="shared" si="11"/>
        <v>37</v>
      </c>
      <c r="D54" s="163">
        <f>0+1+0+0</f>
        <v>1</v>
      </c>
      <c r="E54" s="126">
        <f t="shared" si="9"/>
        <v>10</v>
      </c>
      <c r="F54" s="161">
        <f t="shared" si="8"/>
        <v>1</v>
      </c>
      <c r="G54" s="133">
        <f t="shared" si="10"/>
        <v>47</v>
      </c>
    </row>
    <row r="55" spans="1:8" s="230" customFormat="1" x14ac:dyDescent="0.2">
      <c r="A55" s="17">
        <v>2016</v>
      </c>
      <c r="B55" s="173">
        <f t="shared" si="12"/>
        <v>0</v>
      </c>
      <c r="C55" s="172">
        <f t="shared" si="11"/>
        <v>37</v>
      </c>
      <c r="D55" s="173">
        <f>0+0+0+0</f>
        <v>0</v>
      </c>
      <c r="E55" s="134">
        <f t="shared" si="9"/>
        <v>10</v>
      </c>
      <c r="F55" s="171">
        <f t="shared" ref="F55:F60" si="13">B55+D55</f>
        <v>0</v>
      </c>
      <c r="G55" s="142">
        <f t="shared" si="10"/>
        <v>47</v>
      </c>
    </row>
    <row r="56" spans="1:8" s="170" customFormat="1" x14ac:dyDescent="0.2">
      <c r="A56" s="17">
        <v>2017</v>
      </c>
      <c r="B56" s="163">
        <f t="shared" si="12"/>
        <v>0</v>
      </c>
      <c r="C56" s="127">
        <f t="shared" si="11"/>
        <v>37</v>
      </c>
      <c r="D56" s="163">
        <f>0+0+0+0</f>
        <v>0</v>
      </c>
      <c r="E56" s="126">
        <f t="shared" ref="E56:E61" si="14">E55+D56</f>
        <v>10</v>
      </c>
      <c r="F56" s="161">
        <f t="shared" si="13"/>
        <v>0</v>
      </c>
      <c r="G56" s="133">
        <f t="shared" ref="G56:G61" si="15">G55+F56</f>
        <v>47</v>
      </c>
    </row>
    <row r="57" spans="1:8" s="170" customFormat="1" x14ac:dyDescent="0.2">
      <c r="A57" s="17">
        <v>2018</v>
      </c>
      <c r="B57" s="163">
        <f t="shared" si="12"/>
        <v>0</v>
      </c>
      <c r="C57" s="127">
        <f t="shared" ref="C57:C63" si="16">C56+B57</f>
        <v>37</v>
      </c>
      <c r="D57" s="163">
        <f>0+0+0+0</f>
        <v>0</v>
      </c>
      <c r="E57" s="126">
        <f t="shared" si="14"/>
        <v>10</v>
      </c>
      <c r="F57" s="161">
        <f t="shared" si="13"/>
        <v>0</v>
      </c>
      <c r="G57" s="133">
        <f t="shared" si="15"/>
        <v>47</v>
      </c>
    </row>
    <row r="58" spans="1:8" s="165" customFormat="1" x14ac:dyDescent="0.2">
      <c r="A58" s="17">
        <v>2019</v>
      </c>
      <c r="B58" s="163">
        <f t="shared" si="12"/>
        <v>0</v>
      </c>
      <c r="C58" s="127">
        <f t="shared" si="16"/>
        <v>37</v>
      </c>
      <c r="D58" s="163">
        <f>0+0+0+1</f>
        <v>1</v>
      </c>
      <c r="E58" s="126">
        <f t="shared" si="14"/>
        <v>11</v>
      </c>
      <c r="F58" s="161">
        <f t="shared" si="13"/>
        <v>1</v>
      </c>
      <c r="G58" s="133">
        <f t="shared" si="15"/>
        <v>48</v>
      </c>
    </row>
    <row r="59" spans="1:8" s="170" customFormat="1" x14ac:dyDescent="0.2">
      <c r="A59" s="17">
        <v>2020</v>
      </c>
      <c r="B59" s="163">
        <f>0+0+0+0</f>
        <v>0</v>
      </c>
      <c r="C59" s="127">
        <f t="shared" si="16"/>
        <v>37</v>
      </c>
      <c r="D59" s="163">
        <f>0+0+0+0</f>
        <v>0</v>
      </c>
      <c r="E59" s="126">
        <f t="shared" si="14"/>
        <v>11</v>
      </c>
      <c r="F59" s="161">
        <f t="shared" si="13"/>
        <v>0</v>
      </c>
      <c r="G59" s="133">
        <f t="shared" si="15"/>
        <v>48</v>
      </c>
    </row>
    <row r="60" spans="1:8" s="170" customFormat="1" x14ac:dyDescent="0.2">
      <c r="A60" s="17">
        <v>2021</v>
      </c>
      <c r="B60" s="163">
        <f>0+0+0+0</f>
        <v>0</v>
      </c>
      <c r="C60" s="127">
        <f t="shared" si="16"/>
        <v>37</v>
      </c>
      <c r="D60" s="163">
        <f>0+0+0+0</f>
        <v>0</v>
      </c>
      <c r="E60" s="126">
        <f t="shared" si="14"/>
        <v>11</v>
      </c>
      <c r="F60" s="161">
        <f t="shared" si="13"/>
        <v>0</v>
      </c>
      <c r="G60" s="133">
        <f t="shared" si="15"/>
        <v>48</v>
      </c>
    </row>
    <row r="61" spans="1:8" s="170" customFormat="1" x14ac:dyDescent="0.2">
      <c r="A61" s="17">
        <v>2022</v>
      </c>
      <c r="B61" s="182">
        <f>0+0+0+0</f>
        <v>0</v>
      </c>
      <c r="C61" s="151">
        <f t="shared" si="16"/>
        <v>37</v>
      </c>
      <c r="D61" s="182">
        <f>1+0+0+0</f>
        <v>1</v>
      </c>
      <c r="E61" s="177">
        <f t="shared" si="14"/>
        <v>12</v>
      </c>
      <c r="F61" s="175">
        <f>B61+D61</f>
        <v>1</v>
      </c>
      <c r="G61" s="178">
        <f t="shared" si="15"/>
        <v>49</v>
      </c>
    </row>
    <row r="62" spans="1:8" s="170" customFormat="1" x14ac:dyDescent="0.2">
      <c r="A62" s="17">
        <v>2023</v>
      </c>
      <c r="B62" s="182">
        <f>0+0+0+0</f>
        <v>0</v>
      </c>
      <c r="C62" s="151">
        <f t="shared" si="16"/>
        <v>37</v>
      </c>
      <c r="D62" s="182">
        <f>0+0+0+1</f>
        <v>1</v>
      </c>
      <c r="E62" s="177">
        <f>E61+D62</f>
        <v>13</v>
      </c>
      <c r="F62" s="175">
        <f>B62+D62</f>
        <v>1</v>
      </c>
      <c r="G62" s="178">
        <f>G61+F62</f>
        <v>50</v>
      </c>
    </row>
    <row r="63" spans="1:8" x14ac:dyDescent="0.2">
      <c r="A63" s="221">
        <v>2024</v>
      </c>
      <c r="B63" s="51">
        <f>0+0+0+0</f>
        <v>0</v>
      </c>
      <c r="C63" s="151">
        <f t="shared" si="16"/>
        <v>37</v>
      </c>
      <c r="D63" s="51">
        <f>1+0+0+0</f>
        <v>1</v>
      </c>
      <c r="E63" s="177">
        <f>E62+D63</f>
        <v>14</v>
      </c>
      <c r="F63" s="175">
        <f>B63+D63</f>
        <v>1</v>
      </c>
      <c r="G63" s="178">
        <f>G62+F63</f>
        <v>51</v>
      </c>
    </row>
    <row r="64" spans="1:8" x14ac:dyDescent="0.2">
      <c r="A64" s="17">
        <v>2025</v>
      </c>
      <c r="B64" s="51"/>
      <c r="C64" s="54"/>
      <c r="D64" s="51"/>
      <c r="E64" s="62"/>
      <c r="F64" s="63"/>
      <c r="G64" s="62"/>
    </row>
    <row r="65" spans="1:7" x14ac:dyDescent="0.2">
      <c r="A65" s="17">
        <v>2026</v>
      </c>
      <c r="B65" s="51"/>
      <c r="C65" s="54"/>
      <c r="D65" s="51"/>
      <c r="E65" s="62"/>
      <c r="F65" s="63"/>
      <c r="G65" s="62"/>
    </row>
    <row r="66" spans="1:7" x14ac:dyDescent="0.2">
      <c r="A66" s="17">
        <v>2027</v>
      </c>
      <c r="B66" s="51"/>
      <c r="C66" s="54"/>
      <c r="D66" s="51"/>
      <c r="E66" s="62"/>
      <c r="F66" s="63"/>
      <c r="G66" s="62"/>
    </row>
    <row r="67" spans="1:7" x14ac:dyDescent="0.2">
      <c r="A67" s="17">
        <v>2028</v>
      </c>
      <c r="B67" s="51"/>
      <c r="C67" s="54"/>
      <c r="D67" s="51"/>
      <c r="E67" s="62"/>
      <c r="F67" s="63"/>
      <c r="G67" s="62"/>
    </row>
    <row r="68" spans="1:7" x14ac:dyDescent="0.2">
      <c r="A68" s="17">
        <v>2029</v>
      </c>
      <c r="B68" s="51"/>
      <c r="C68" s="54"/>
      <c r="D68" s="51"/>
      <c r="E68" s="62"/>
      <c r="F68" s="63"/>
      <c r="G68" s="62"/>
    </row>
    <row r="69" spans="1:7" x14ac:dyDescent="0.2">
      <c r="A69" s="17">
        <v>2030</v>
      </c>
      <c r="B69" s="51"/>
      <c r="C69" s="54"/>
      <c r="D69" s="51"/>
      <c r="E69" s="62"/>
      <c r="F69" s="63"/>
      <c r="G69" s="62"/>
    </row>
    <row r="70" spans="1:7" x14ac:dyDescent="0.2">
      <c r="A70" s="17"/>
      <c r="B70" s="51"/>
      <c r="C70" s="54"/>
      <c r="D70" s="51"/>
      <c r="E70" s="62"/>
      <c r="F70" s="63"/>
      <c r="G70" s="62"/>
    </row>
    <row r="71" spans="1:7" x14ac:dyDescent="0.2">
      <c r="A71" s="17"/>
      <c r="B71" s="51"/>
      <c r="C71" s="54"/>
      <c r="D71" s="51"/>
      <c r="E71" s="62"/>
      <c r="F71" s="63"/>
      <c r="G71" s="62"/>
    </row>
    <row r="72" spans="1:7" x14ac:dyDescent="0.2">
      <c r="A72" s="17"/>
      <c r="B72" s="8"/>
      <c r="C72" s="25"/>
      <c r="D72" s="8"/>
      <c r="E72" s="26"/>
      <c r="F72" s="31"/>
      <c r="G72" s="26"/>
    </row>
    <row r="73" spans="1:7" x14ac:dyDescent="0.2">
      <c r="A73" s="18"/>
      <c r="B73" s="35"/>
      <c r="C73" s="27"/>
      <c r="D73" s="35"/>
      <c r="E73" s="28"/>
      <c r="F73" s="32"/>
      <c r="G73" s="28"/>
    </row>
    <row r="74" spans="1:7" x14ac:dyDescent="0.2">
      <c r="B74" s="12"/>
      <c r="C74" s="12"/>
    </row>
    <row r="75" spans="1:7" x14ac:dyDescent="0.2">
      <c r="B75" s="12"/>
      <c r="C75" s="12"/>
    </row>
    <row r="76" spans="1:7" x14ac:dyDescent="0.2">
      <c r="B76" s="12"/>
      <c r="C76" s="12"/>
    </row>
    <row r="77" spans="1:7" x14ac:dyDescent="0.2">
      <c r="B77" s="12"/>
      <c r="C77" s="12"/>
    </row>
    <row r="78" spans="1:7" x14ac:dyDescent="0.2">
      <c r="B78" s="12"/>
      <c r="C78" s="12"/>
    </row>
  </sheetData>
  <mergeCells count="3">
    <mergeCell ref="B1:C1"/>
    <mergeCell ref="F1:G1"/>
    <mergeCell ref="D1:E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  <ignoredErrors>
    <ignoredError sqref="C32:F45 C46 F46 D46:E47 F47 D48 F49 F48 C50 G49:G50 F50 E49:E50 D49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16"/>
  </sheetPr>
  <dimension ref="A1:I77"/>
  <sheetViews>
    <sheetView showGridLines="0" zoomScaleNormal="100" workbookViewId="0">
      <pane ySplit="2" topLeftCell="A51" activePane="bottomLeft" state="frozen"/>
      <selection activeCell="K87" sqref="K87"/>
      <selection pane="bottomLeft" activeCell="G63" sqref="G63"/>
    </sheetView>
  </sheetViews>
  <sheetFormatPr defaultColWidth="8.85546875" defaultRowHeight="12.75" x14ac:dyDescent="0.2"/>
  <cols>
    <col min="1" max="1" width="6" style="1" customWidth="1"/>
    <col min="2" max="9" width="9.5703125" customWidth="1"/>
  </cols>
  <sheetData>
    <row r="1" spans="1:9" s="6" customFormat="1" ht="20.25" customHeight="1" x14ac:dyDescent="0.2">
      <c r="A1" s="16"/>
      <c r="B1" s="440" t="s">
        <v>4</v>
      </c>
      <c r="C1" s="437"/>
      <c r="D1" s="434" t="s">
        <v>5</v>
      </c>
      <c r="E1" s="435"/>
      <c r="F1" s="434" t="s">
        <v>6</v>
      </c>
      <c r="G1" s="437"/>
      <c r="H1" s="434" t="s">
        <v>8</v>
      </c>
      <c r="I1" s="436"/>
    </row>
    <row r="2" spans="1:9" s="2" customFormat="1" ht="25.5" customHeight="1" thickBot="1" x14ac:dyDescent="0.25">
      <c r="A2" s="5" t="s">
        <v>9</v>
      </c>
      <c r="B2" s="3" t="s">
        <v>0</v>
      </c>
      <c r="C2" s="4" t="s">
        <v>1</v>
      </c>
      <c r="D2" s="3" t="s">
        <v>0</v>
      </c>
      <c r="E2" s="4" t="s">
        <v>1</v>
      </c>
      <c r="F2" s="3" t="s">
        <v>0</v>
      </c>
      <c r="G2" s="4" t="s">
        <v>1</v>
      </c>
      <c r="H2" s="3" t="s">
        <v>0</v>
      </c>
      <c r="I2" s="4" t="s">
        <v>1</v>
      </c>
    </row>
    <row r="3" spans="1:9" ht="17.25" customHeight="1" thickTop="1" x14ac:dyDescent="0.2">
      <c r="A3" s="17">
        <v>1964</v>
      </c>
      <c r="B3" s="8"/>
      <c r="C3" s="9"/>
      <c r="D3" s="8"/>
      <c r="E3" s="9"/>
      <c r="F3" s="8"/>
      <c r="G3" s="9"/>
      <c r="H3" s="8"/>
      <c r="I3" s="9"/>
    </row>
    <row r="4" spans="1:9" x14ac:dyDescent="0.2">
      <c r="A4" s="17">
        <v>1965</v>
      </c>
      <c r="B4" s="8"/>
      <c r="C4" s="33"/>
      <c r="D4" s="8"/>
      <c r="E4" s="10"/>
      <c r="F4" s="8"/>
      <c r="G4" s="10"/>
      <c r="H4" s="8"/>
      <c r="I4" s="11"/>
    </row>
    <row r="5" spans="1:9" x14ac:dyDescent="0.2">
      <c r="A5" s="17">
        <v>1966</v>
      </c>
      <c r="B5" s="8"/>
      <c r="C5" s="33"/>
      <c r="D5" s="8"/>
      <c r="E5" s="10"/>
      <c r="F5" s="8"/>
      <c r="G5" s="10"/>
      <c r="H5" s="8"/>
      <c r="I5" s="11"/>
    </row>
    <row r="6" spans="1:9" x14ac:dyDescent="0.2">
      <c r="A6" s="17">
        <v>1967</v>
      </c>
      <c r="B6" s="8"/>
      <c r="C6" s="33"/>
      <c r="D6" s="8"/>
      <c r="E6" s="10"/>
      <c r="F6" s="8"/>
      <c r="G6" s="10"/>
      <c r="H6" s="8"/>
      <c r="I6" s="11"/>
    </row>
    <row r="7" spans="1:9" x14ac:dyDescent="0.2">
      <c r="A7" s="17">
        <v>1968</v>
      </c>
      <c r="B7" s="8"/>
      <c r="C7" s="33"/>
      <c r="D7" s="8"/>
      <c r="E7" s="10"/>
      <c r="F7" s="8"/>
      <c r="G7" s="10"/>
      <c r="H7" s="8"/>
      <c r="I7" s="11"/>
    </row>
    <row r="8" spans="1:9" x14ac:dyDescent="0.2">
      <c r="A8" s="17">
        <v>1969</v>
      </c>
      <c r="B8" s="8"/>
      <c r="C8" s="33"/>
      <c r="D8" s="8"/>
      <c r="E8" s="10"/>
      <c r="F8" s="8"/>
      <c r="G8" s="10"/>
      <c r="H8" s="8"/>
      <c r="I8" s="11"/>
    </row>
    <row r="9" spans="1:9" x14ac:dyDescent="0.2">
      <c r="A9" s="17">
        <v>1970</v>
      </c>
      <c r="B9" s="8"/>
      <c r="C9" s="33"/>
      <c r="D9" s="8"/>
      <c r="E9" s="10"/>
      <c r="F9" s="8"/>
      <c r="G9" s="10"/>
      <c r="H9" s="8"/>
      <c r="I9" s="11"/>
    </row>
    <row r="10" spans="1:9" x14ac:dyDescent="0.2">
      <c r="A10" s="17">
        <v>1971</v>
      </c>
      <c r="B10" s="8"/>
      <c r="C10" s="33"/>
      <c r="D10" s="8"/>
      <c r="E10" s="10"/>
      <c r="F10" s="8"/>
      <c r="G10" s="10"/>
      <c r="H10" s="8"/>
      <c r="I10" s="11"/>
    </row>
    <row r="11" spans="1:9" x14ac:dyDescent="0.2">
      <c r="A11" s="17">
        <v>1972</v>
      </c>
      <c r="B11" s="8"/>
      <c r="C11" s="33"/>
      <c r="D11" s="8"/>
      <c r="E11" s="10"/>
      <c r="F11" s="8"/>
      <c r="G11" s="10"/>
      <c r="H11" s="8"/>
      <c r="I11" s="11"/>
    </row>
    <row r="12" spans="1:9" x14ac:dyDescent="0.2">
      <c r="A12" s="17">
        <v>1973</v>
      </c>
      <c r="B12" s="8"/>
      <c r="C12" s="33"/>
      <c r="D12" s="8"/>
      <c r="E12" s="10"/>
      <c r="F12" s="8"/>
      <c r="G12" s="10"/>
      <c r="H12" s="8"/>
      <c r="I12" s="11"/>
    </row>
    <row r="13" spans="1:9" x14ac:dyDescent="0.2">
      <c r="A13" s="17">
        <v>1974</v>
      </c>
      <c r="B13" s="8"/>
      <c r="C13" s="33"/>
      <c r="D13" s="8"/>
      <c r="E13" s="10"/>
      <c r="F13" s="8"/>
      <c r="G13" s="10"/>
      <c r="H13" s="8"/>
      <c r="I13" s="11"/>
    </row>
    <row r="14" spans="1:9" x14ac:dyDescent="0.2">
      <c r="A14" s="17">
        <v>1975</v>
      </c>
      <c r="B14" s="8"/>
      <c r="C14" s="33"/>
      <c r="D14" s="8"/>
      <c r="E14" s="10"/>
      <c r="F14" s="8"/>
      <c r="G14" s="10"/>
      <c r="H14" s="8"/>
      <c r="I14" s="11"/>
    </row>
    <row r="15" spans="1:9" x14ac:dyDescent="0.2">
      <c r="A15" s="17">
        <v>1976</v>
      </c>
      <c r="B15" s="8"/>
      <c r="C15" s="33"/>
      <c r="D15" s="8"/>
      <c r="E15" s="10"/>
      <c r="F15" s="8"/>
      <c r="G15" s="10"/>
      <c r="H15" s="8"/>
      <c r="I15" s="11"/>
    </row>
    <row r="16" spans="1:9" x14ac:dyDescent="0.2">
      <c r="A16" s="17">
        <v>1977</v>
      </c>
      <c r="B16" s="8"/>
      <c r="C16" s="33"/>
      <c r="D16" s="8"/>
      <c r="E16" s="10"/>
      <c r="F16" s="8"/>
      <c r="G16" s="10"/>
      <c r="H16" s="8"/>
      <c r="I16" s="11"/>
    </row>
    <row r="17" spans="1:9" x14ac:dyDescent="0.2">
      <c r="A17" s="17">
        <v>1978</v>
      </c>
      <c r="B17" s="8"/>
      <c r="C17" s="33"/>
      <c r="D17" s="8"/>
      <c r="E17" s="10"/>
      <c r="F17" s="8"/>
      <c r="G17" s="10"/>
      <c r="H17" s="8"/>
      <c r="I17" s="11"/>
    </row>
    <row r="18" spans="1:9" x14ac:dyDescent="0.2">
      <c r="A18" s="17">
        <v>1979</v>
      </c>
      <c r="B18" s="8"/>
      <c r="C18" s="33"/>
      <c r="D18" s="8"/>
      <c r="E18" s="10"/>
      <c r="F18" s="8"/>
      <c r="G18" s="10"/>
      <c r="H18" s="8"/>
      <c r="I18" s="11"/>
    </row>
    <row r="19" spans="1:9" x14ac:dyDescent="0.2">
      <c r="A19" s="17">
        <v>1980</v>
      </c>
      <c r="B19" s="8"/>
      <c r="C19" s="33"/>
      <c r="D19" s="8"/>
      <c r="E19" s="10"/>
      <c r="F19" s="8"/>
      <c r="G19" s="10"/>
      <c r="H19" s="8"/>
      <c r="I19" s="11"/>
    </row>
    <row r="20" spans="1:9" x14ac:dyDescent="0.2">
      <c r="A20" s="17">
        <v>1981</v>
      </c>
      <c r="B20" s="8"/>
      <c r="C20" s="33"/>
      <c r="D20" s="8"/>
      <c r="E20" s="10"/>
      <c r="F20" s="8"/>
      <c r="G20" s="10"/>
      <c r="H20" s="8"/>
      <c r="I20" s="11"/>
    </row>
    <row r="21" spans="1:9" x14ac:dyDescent="0.2">
      <c r="A21" s="17">
        <v>1982</v>
      </c>
      <c r="B21" s="8"/>
      <c r="C21" s="33"/>
      <c r="D21" s="8"/>
      <c r="E21" s="10"/>
      <c r="F21" s="8"/>
      <c r="G21" s="10"/>
      <c r="H21" s="8"/>
      <c r="I21" s="11"/>
    </row>
    <row r="22" spans="1:9" x14ac:dyDescent="0.2">
      <c r="A22" s="17">
        <v>1983</v>
      </c>
      <c r="B22" s="8"/>
      <c r="C22" s="33"/>
      <c r="D22" s="8"/>
      <c r="E22" s="10"/>
      <c r="F22" s="8"/>
      <c r="G22" s="10"/>
      <c r="H22" s="8"/>
      <c r="I22" s="11"/>
    </row>
    <row r="23" spans="1:9" x14ac:dyDescent="0.2">
      <c r="A23" s="17">
        <v>1984</v>
      </c>
      <c r="B23" s="51"/>
      <c r="C23" s="52"/>
      <c r="D23" s="51"/>
      <c r="E23" s="53"/>
      <c r="F23" s="51"/>
      <c r="G23" s="53"/>
      <c r="H23" s="51"/>
      <c r="I23" s="54"/>
    </row>
    <row r="24" spans="1:9" x14ac:dyDescent="0.2">
      <c r="A24" s="17">
        <v>1985</v>
      </c>
      <c r="B24" s="51"/>
      <c r="C24" s="52"/>
      <c r="D24" s="51"/>
      <c r="E24" s="53"/>
      <c r="F24" s="51"/>
      <c r="G24" s="53"/>
      <c r="H24" s="51"/>
      <c r="I24" s="54"/>
    </row>
    <row r="25" spans="1:9" x14ac:dyDescent="0.2">
      <c r="A25" s="17">
        <v>1986</v>
      </c>
      <c r="B25" s="51"/>
      <c r="C25" s="52"/>
      <c r="D25" s="51"/>
      <c r="E25" s="53"/>
      <c r="F25" s="51"/>
      <c r="G25" s="53"/>
      <c r="H25" s="51"/>
      <c r="I25" s="54"/>
    </row>
    <row r="26" spans="1:9" x14ac:dyDescent="0.2">
      <c r="A26" s="17">
        <v>1987</v>
      </c>
      <c r="B26" s="51"/>
      <c r="C26" s="52"/>
      <c r="D26" s="51"/>
      <c r="E26" s="53"/>
      <c r="F26" s="51"/>
      <c r="G26" s="53"/>
      <c r="H26" s="51"/>
      <c r="I26" s="54"/>
    </row>
    <row r="27" spans="1:9" x14ac:dyDescent="0.2">
      <c r="A27" s="17">
        <v>1988</v>
      </c>
      <c r="B27" s="51"/>
      <c r="C27" s="52"/>
      <c r="D27" s="51"/>
      <c r="E27" s="53"/>
      <c r="F27" s="51"/>
      <c r="G27" s="53"/>
      <c r="H27" s="51"/>
      <c r="I27" s="54"/>
    </row>
    <row r="28" spans="1:9" x14ac:dyDescent="0.2">
      <c r="A28" s="17">
        <v>1989</v>
      </c>
      <c r="B28" s="51"/>
      <c r="C28" s="52"/>
      <c r="D28" s="51"/>
      <c r="E28" s="53"/>
      <c r="F28" s="51"/>
      <c r="G28" s="53"/>
      <c r="H28" s="51"/>
      <c r="I28" s="54"/>
    </row>
    <row r="29" spans="1:9" x14ac:dyDescent="0.2">
      <c r="A29" s="17">
        <v>1990</v>
      </c>
      <c r="B29" s="51"/>
      <c r="C29" s="52"/>
      <c r="D29" s="51">
        <v>1</v>
      </c>
      <c r="E29" s="53">
        <f>E28+D29</f>
        <v>1</v>
      </c>
      <c r="F29" s="51">
        <v>2</v>
      </c>
      <c r="G29" s="53">
        <f>G28+F29</f>
        <v>2</v>
      </c>
      <c r="H29" s="51">
        <f>B29+D29+F29</f>
        <v>3</v>
      </c>
      <c r="I29" s="54">
        <f>I28+H29</f>
        <v>3</v>
      </c>
    </row>
    <row r="30" spans="1:9" x14ac:dyDescent="0.2">
      <c r="A30" s="17">
        <v>1991</v>
      </c>
      <c r="B30" s="51"/>
      <c r="C30" s="52"/>
      <c r="D30" s="51"/>
      <c r="E30" s="53">
        <f t="shared" ref="E30:E44" si="0">E29+D30</f>
        <v>1</v>
      </c>
      <c r="F30" s="51"/>
      <c r="G30" s="53">
        <f t="shared" ref="G30:G44" si="1">G29+F30</f>
        <v>2</v>
      </c>
      <c r="H30" s="51"/>
      <c r="I30" s="54">
        <f t="shared" ref="I30:I43" si="2">I29+H30</f>
        <v>3</v>
      </c>
    </row>
    <row r="31" spans="1:9" x14ac:dyDescent="0.2">
      <c r="A31" s="17">
        <v>1992</v>
      </c>
      <c r="B31" s="51"/>
      <c r="C31" s="52"/>
      <c r="D31" s="51"/>
      <c r="E31" s="53">
        <f t="shared" si="0"/>
        <v>1</v>
      </c>
      <c r="F31" s="51"/>
      <c r="G31" s="53">
        <f t="shared" si="1"/>
        <v>2</v>
      </c>
      <c r="H31" s="51"/>
      <c r="I31" s="54">
        <f t="shared" si="2"/>
        <v>3</v>
      </c>
    </row>
    <row r="32" spans="1:9" x14ac:dyDescent="0.2">
      <c r="A32" s="17">
        <v>1993</v>
      </c>
      <c r="B32" s="51"/>
      <c r="C32" s="52"/>
      <c r="D32" s="51"/>
      <c r="E32" s="53">
        <f t="shared" si="0"/>
        <v>1</v>
      </c>
      <c r="F32" s="51"/>
      <c r="G32" s="53">
        <f t="shared" si="1"/>
        <v>2</v>
      </c>
      <c r="H32" s="51"/>
      <c r="I32" s="54">
        <f t="shared" si="2"/>
        <v>3</v>
      </c>
    </row>
    <row r="33" spans="1:9" x14ac:dyDescent="0.2">
      <c r="A33" s="17">
        <v>1994</v>
      </c>
      <c r="B33" s="51"/>
      <c r="C33" s="52"/>
      <c r="D33" s="51"/>
      <c r="E33" s="53">
        <f t="shared" si="0"/>
        <v>1</v>
      </c>
      <c r="F33" s="51"/>
      <c r="G33" s="53">
        <f t="shared" si="1"/>
        <v>2</v>
      </c>
      <c r="H33" s="51"/>
      <c r="I33" s="54">
        <f t="shared" si="2"/>
        <v>3</v>
      </c>
    </row>
    <row r="34" spans="1:9" x14ac:dyDescent="0.2">
      <c r="A34" s="17">
        <v>1995</v>
      </c>
      <c r="B34" s="51"/>
      <c r="C34" s="52"/>
      <c r="D34" s="51"/>
      <c r="E34" s="53">
        <f t="shared" si="0"/>
        <v>1</v>
      </c>
      <c r="F34" s="51"/>
      <c r="G34" s="53">
        <f t="shared" si="1"/>
        <v>2</v>
      </c>
      <c r="H34" s="51"/>
      <c r="I34" s="54">
        <f t="shared" si="2"/>
        <v>3</v>
      </c>
    </row>
    <row r="35" spans="1:9" x14ac:dyDescent="0.2">
      <c r="A35" s="17">
        <v>1996</v>
      </c>
      <c r="B35" s="51"/>
      <c r="C35" s="52"/>
      <c r="D35" s="51"/>
      <c r="E35" s="53">
        <f t="shared" si="0"/>
        <v>1</v>
      </c>
      <c r="F35" s="51"/>
      <c r="G35" s="53">
        <f t="shared" si="1"/>
        <v>2</v>
      </c>
      <c r="H35" s="51"/>
      <c r="I35" s="54">
        <f t="shared" si="2"/>
        <v>3</v>
      </c>
    </row>
    <row r="36" spans="1:9" x14ac:dyDescent="0.2">
      <c r="A36" s="17">
        <v>1997</v>
      </c>
      <c r="B36" s="51">
        <v>1</v>
      </c>
      <c r="C36" s="52">
        <f>C35+B36</f>
        <v>1</v>
      </c>
      <c r="D36" s="51"/>
      <c r="E36" s="53">
        <f t="shared" si="0"/>
        <v>1</v>
      </c>
      <c r="F36" s="51"/>
      <c r="G36" s="53">
        <f t="shared" si="1"/>
        <v>2</v>
      </c>
      <c r="H36" s="51">
        <f t="shared" ref="H36:H43" si="3">B36+D36+F36</f>
        <v>1</v>
      </c>
      <c r="I36" s="54">
        <f t="shared" si="2"/>
        <v>4</v>
      </c>
    </row>
    <row r="37" spans="1:9" x14ac:dyDescent="0.2">
      <c r="A37" s="17">
        <v>1998</v>
      </c>
      <c r="B37" s="51"/>
      <c r="C37" s="52">
        <f t="shared" ref="C37:C44" si="4">C36+B37</f>
        <v>1</v>
      </c>
      <c r="D37" s="51"/>
      <c r="E37" s="53">
        <f t="shared" si="0"/>
        <v>1</v>
      </c>
      <c r="F37" s="51">
        <v>1</v>
      </c>
      <c r="G37" s="53">
        <f t="shared" si="1"/>
        <v>3</v>
      </c>
      <c r="H37" s="51">
        <f t="shared" si="3"/>
        <v>1</v>
      </c>
      <c r="I37" s="54">
        <f t="shared" si="2"/>
        <v>5</v>
      </c>
    </row>
    <row r="38" spans="1:9" x14ac:dyDescent="0.2">
      <c r="A38" s="18">
        <v>1999</v>
      </c>
      <c r="B38" s="55"/>
      <c r="C38" s="56">
        <f t="shared" si="4"/>
        <v>1</v>
      </c>
      <c r="D38" s="55"/>
      <c r="E38" s="57">
        <f t="shared" si="0"/>
        <v>1</v>
      </c>
      <c r="F38" s="55"/>
      <c r="G38" s="57">
        <f t="shared" si="1"/>
        <v>3</v>
      </c>
      <c r="H38" s="55"/>
      <c r="I38" s="58">
        <f t="shared" si="2"/>
        <v>5</v>
      </c>
    </row>
    <row r="39" spans="1:9" s="7" customFormat="1" ht="17.25" customHeight="1" x14ac:dyDescent="0.2">
      <c r="A39" s="17">
        <v>2000</v>
      </c>
      <c r="B39" s="51"/>
      <c r="C39" s="52">
        <f t="shared" si="4"/>
        <v>1</v>
      </c>
      <c r="D39" s="51"/>
      <c r="E39" s="53">
        <f t="shared" si="0"/>
        <v>1</v>
      </c>
      <c r="F39" s="51">
        <v>2</v>
      </c>
      <c r="G39" s="53">
        <f t="shared" si="1"/>
        <v>5</v>
      </c>
      <c r="H39" s="51">
        <f t="shared" si="3"/>
        <v>2</v>
      </c>
      <c r="I39" s="54">
        <f t="shared" si="2"/>
        <v>7</v>
      </c>
    </row>
    <row r="40" spans="1:9" x14ac:dyDescent="0.2">
      <c r="A40" s="17">
        <v>2001</v>
      </c>
      <c r="B40" s="51"/>
      <c r="C40" s="52">
        <f t="shared" si="4"/>
        <v>1</v>
      </c>
      <c r="D40" s="51"/>
      <c r="E40" s="53">
        <f t="shared" si="0"/>
        <v>1</v>
      </c>
      <c r="F40" s="51">
        <v>1</v>
      </c>
      <c r="G40" s="53">
        <f t="shared" si="1"/>
        <v>6</v>
      </c>
      <c r="H40" s="51">
        <f t="shared" si="3"/>
        <v>1</v>
      </c>
      <c r="I40" s="54">
        <f t="shared" si="2"/>
        <v>8</v>
      </c>
    </row>
    <row r="41" spans="1:9" x14ac:dyDescent="0.2">
      <c r="A41" s="17">
        <v>2002</v>
      </c>
      <c r="B41" s="51"/>
      <c r="C41" s="52">
        <f t="shared" si="4"/>
        <v>1</v>
      </c>
      <c r="D41" s="51"/>
      <c r="E41" s="53">
        <f t="shared" si="0"/>
        <v>1</v>
      </c>
      <c r="F41" s="51">
        <v>3</v>
      </c>
      <c r="G41" s="53">
        <f t="shared" si="1"/>
        <v>9</v>
      </c>
      <c r="H41" s="51">
        <f t="shared" si="3"/>
        <v>3</v>
      </c>
      <c r="I41" s="54">
        <f t="shared" si="2"/>
        <v>11</v>
      </c>
    </row>
    <row r="42" spans="1:9" x14ac:dyDescent="0.2">
      <c r="A42" s="17">
        <v>2003</v>
      </c>
      <c r="B42" s="51"/>
      <c r="C42" s="52">
        <f t="shared" si="4"/>
        <v>1</v>
      </c>
      <c r="D42" s="51"/>
      <c r="E42" s="53">
        <f t="shared" si="0"/>
        <v>1</v>
      </c>
      <c r="F42" s="51">
        <v>1</v>
      </c>
      <c r="G42" s="53">
        <f t="shared" si="1"/>
        <v>10</v>
      </c>
      <c r="H42" s="51">
        <f t="shared" si="3"/>
        <v>1</v>
      </c>
      <c r="I42" s="54">
        <f t="shared" si="2"/>
        <v>12</v>
      </c>
    </row>
    <row r="43" spans="1:9" x14ac:dyDescent="0.2">
      <c r="A43" s="17">
        <v>2004</v>
      </c>
      <c r="B43" s="51"/>
      <c r="C43" s="52">
        <f t="shared" si="4"/>
        <v>1</v>
      </c>
      <c r="D43" s="51"/>
      <c r="E43" s="53">
        <f t="shared" si="0"/>
        <v>1</v>
      </c>
      <c r="F43" s="51">
        <f>2+0</f>
        <v>2</v>
      </c>
      <c r="G43" s="53">
        <f t="shared" si="1"/>
        <v>12</v>
      </c>
      <c r="H43" s="51">
        <f t="shared" si="3"/>
        <v>2</v>
      </c>
      <c r="I43" s="54">
        <f t="shared" si="2"/>
        <v>14</v>
      </c>
    </row>
    <row r="44" spans="1:9" s="67" customFormat="1" x14ac:dyDescent="0.2">
      <c r="A44" s="17">
        <v>2005</v>
      </c>
      <c r="B44" s="51">
        <f>0+0+0</f>
        <v>0</v>
      </c>
      <c r="C44" s="52">
        <f t="shared" si="4"/>
        <v>1</v>
      </c>
      <c r="D44" s="51">
        <f>0+0+0</f>
        <v>0</v>
      </c>
      <c r="E44" s="53">
        <f t="shared" si="0"/>
        <v>1</v>
      </c>
      <c r="F44" s="63">
        <f>0+0+1+0</f>
        <v>1</v>
      </c>
      <c r="G44" s="53">
        <f t="shared" si="1"/>
        <v>13</v>
      </c>
      <c r="H44" s="51">
        <f t="shared" ref="H44:H49" si="5">B44+D44+F44</f>
        <v>1</v>
      </c>
      <c r="I44" s="54">
        <f t="shared" ref="I44:I49" si="6">I43+H44</f>
        <v>15</v>
      </c>
    </row>
    <row r="45" spans="1:9" s="67" customFormat="1" x14ac:dyDescent="0.2">
      <c r="A45" s="17">
        <v>2006</v>
      </c>
      <c r="B45" s="51">
        <f t="shared" ref="B45:B57" si="7">0+0+0+0</f>
        <v>0</v>
      </c>
      <c r="C45" s="52">
        <f t="shared" ref="C45:C50" si="8">C44+B45</f>
        <v>1</v>
      </c>
      <c r="D45" s="51">
        <f t="shared" ref="D45:D59" si="9">0+0+0+0</f>
        <v>0</v>
      </c>
      <c r="E45" s="53">
        <f t="shared" ref="E45:E50" si="10">E44+D45</f>
        <v>1</v>
      </c>
      <c r="F45" s="63">
        <f>0+0+0+0</f>
        <v>0</v>
      </c>
      <c r="G45" s="53">
        <f t="shared" ref="G45:G50" si="11">G44+F45</f>
        <v>13</v>
      </c>
      <c r="H45" s="51">
        <f t="shared" si="5"/>
        <v>0</v>
      </c>
      <c r="I45" s="54">
        <f t="shared" si="6"/>
        <v>15</v>
      </c>
    </row>
    <row r="46" spans="1:9" s="67" customFormat="1" x14ac:dyDescent="0.2">
      <c r="A46" s="17">
        <v>2007</v>
      </c>
      <c r="B46" s="51">
        <f t="shared" si="7"/>
        <v>0</v>
      </c>
      <c r="C46" s="52">
        <f t="shared" si="8"/>
        <v>1</v>
      </c>
      <c r="D46" s="51">
        <f t="shared" si="9"/>
        <v>0</v>
      </c>
      <c r="E46" s="53">
        <f t="shared" si="10"/>
        <v>1</v>
      </c>
      <c r="F46" s="63">
        <f>2+0+0+0</f>
        <v>2</v>
      </c>
      <c r="G46" s="53">
        <f t="shared" si="11"/>
        <v>15</v>
      </c>
      <c r="H46" s="51">
        <f t="shared" si="5"/>
        <v>2</v>
      </c>
      <c r="I46" s="54">
        <f t="shared" si="6"/>
        <v>17</v>
      </c>
    </row>
    <row r="47" spans="1:9" s="67" customFormat="1" x14ac:dyDescent="0.2">
      <c r="A47" s="17">
        <v>2008</v>
      </c>
      <c r="B47" s="51">
        <f t="shared" si="7"/>
        <v>0</v>
      </c>
      <c r="C47" s="52">
        <f t="shared" si="8"/>
        <v>1</v>
      </c>
      <c r="D47" s="51">
        <f t="shared" si="9"/>
        <v>0</v>
      </c>
      <c r="E47" s="53">
        <f t="shared" si="10"/>
        <v>1</v>
      </c>
      <c r="F47" s="63">
        <f>2+2+0+1</f>
        <v>5</v>
      </c>
      <c r="G47" s="53">
        <f t="shared" si="11"/>
        <v>20</v>
      </c>
      <c r="H47" s="51">
        <f t="shared" si="5"/>
        <v>5</v>
      </c>
      <c r="I47" s="54">
        <f t="shared" si="6"/>
        <v>22</v>
      </c>
    </row>
    <row r="48" spans="1:9" s="67" customFormat="1" x14ac:dyDescent="0.2">
      <c r="A48" s="17">
        <v>2009</v>
      </c>
      <c r="B48" s="51">
        <f t="shared" si="7"/>
        <v>0</v>
      </c>
      <c r="C48" s="52">
        <f t="shared" si="8"/>
        <v>1</v>
      </c>
      <c r="D48" s="51">
        <f t="shared" si="9"/>
        <v>0</v>
      </c>
      <c r="E48" s="53">
        <f t="shared" si="10"/>
        <v>1</v>
      </c>
      <c r="F48" s="63">
        <f>0+1+0+1</f>
        <v>2</v>
      </c>
      <c r="G48" s="53">
        <f t="shared" si="11"/>
        <v>22</v>
      </c>
      <c r="H48" s="51">
        <f t="shared" si="5"/>
        <v>2</v>
      </c>
      <c r="I48" s="54">
        <f t="shared" si="6"/>
        <v>24</v>
      </c>
    </row>
    <row r="49" spans="1:9" s="67" customFormat="1" x14ac:dyDescent="0.2">
      <c r="A49" s="17">
        <v>2010</v>
      </c>
      <c r="B49" s="51">
        <f t="shared" si="7"/>
        <v>0</v>
      </c>
      <c r="C49" s="52">
        <f t="shared" si="8"/>
        <v>1</v>
      </c>
      <c r="D49" s="51">
        <f t="shared" si="9"/>
        <v>0</v>
      </c>
      <c r="E49" s="53">
        <f t="shared" si="10"/>
        <v>1</v>
      </c>
      <c r="F49" s="63">
        <f>1+0+0</f>
        <v>1</v>
      </c>
      <c r="G49" s="53">
        <f t="shared" si="11"/>
        <v>23</v>
      </c>
      <c r="H49" s="51">
        <f t="shared" si="5"/>
        <v>1</v>
      </c>
      <c r="I49" s="54">
        <f t="shared" si="6"/>
        <v>25</v>
      </c>
    </row>
    <row r="50" spans="1:9" s="165" customFormat="1" x14ac:dyDescent="0.2">
      <c r="A50" s="157">
        <v>2011</v>
      </c>
      <c r="B50" s="161">
        <f t="shared" si="7"/>
        <v>0</v>
      </c>
      <c r="C50" s="127">
        <f t="shared" si="8"/>
        <v>1</v>
      </c>
      <c r="D50" s="161">
        <f t="shared" si="9"/>
        <v>0</v>
      </c>
      <c r="E50" s="126">
        <f t="shared" si="10"/>
        <v>1</v>
      </c>
      <c r="F50" s="161">
        <f>0+0+2</f>
        <v>2</v>
      </c>
      <c r="G50" s="126">
        <f t="shared" si="11"/>
        <v>25</v>
      </c>
      <c r="H50" s="161">
        <f t="shared" ref="H50:H55" si="12">B50+D50+F50</f>
        <v>2</v>
      </c>
      <c r="I50" s="133">
        <f t="shared" ref="I50:I55" si="13">I49+H50</f>
        <v>27</v>
      </c>
    </row>
    <row r="51" spans="1:9" s="165" customFormat="1" x14ac:dyDescent="0.2">
      <c r="A51" s="157">
        <v>2012</v>
      </c>
      <c r="B51" s="161">
        <f t="shared" si="7"/>
        <v>0</v>
      </c>
      <c r="C51" s="127">
        <f t="shared" ref="C51:C56" si="14">C50+B51</f>
        <v>1</v>
      </c>
      <c r="D51" s="161">
        <f t="shared" si="9"/>
        <v>0</v>
      </c>
      <c r="E51" s="126">
        <f t="shared" ref="E51:E56" si="15">E50+D51</f>
        <v>1</v>
      </c>
      <c r="F51" s="161">
        <f>1+1+0+0</f>
        <v>2</v>
      </c>
      <c r="G51" s="126">
        <f t="shared" ref="G51:G56" si="16">G50+F51</f>
        <v>27</v>
      </c>
      <c r="H51" s="161">
        <f t="shared" si="12"/>
        <v>2</v>
      </c>
      <c r="I51" s="133">
        <f t="shared" si="13"/>
        <v>29</v>
      </c>
    </row>
    <row r="52" spans="1:9" s="165" customFormat="1" x14ac:dyDescent="0.2">
      <c r="A52" s="157">
        <v>2013</v>
      </c>
      <c r="B52" s="161">
        <f t="shared" si="7"/>
        <v>0</v>
      </c>
      <c r="C52" s="127">
        <f t="shared" si="14"/>
        <v>1</v>
      </c>
      <c r="D52" s="161">
        <f t="shared" si="9"/>
        <v>0</v>
      </c>
      <c r="E52" s="126">
        <f t="shared" si="15"/>
        <v>1</v>
      </c>
      <c r="F52" s="161">
        <f>0+0+0+0</f>
        <v>0</v>
      </c>
      <c r="G52" s="126">
        <f t="shared" si="16"/>
        <v>27</v>
      </c>
      <c r="H52" s="161">
        <f t="shared" si="12"/>
        <v>0</v>
      </c>
      <c r="I52" s="133">
        <f t="shared" si="13"/>
        <v>29</v>
      </c>
    </row>
    <row r="53" spans="1:9" s="170" customFormat="1" x14ac:dyDescent="0.2">
      <c r="A53" s="157">
        <v>2014</v>
      </c>
      <c r="B53" s="161">
        <f t="shared" si="7"/>
        <v>0</v>
      </c>
      <c r="C53" s="127">
        <f t="shared" si="14"/>
        <v>1</v>
      </c>
      <c r="D53" s="161">
        <f t="shared" si="9"/>
        <v>0</v>
      </c>
      <c r="E53" s="126">
        <f t="shared" si="15"/>
        <v>1</v>
      </c>
      <c r="F53" s="161">
        <f>0+1+1+0</f>
        <v>2</v>
      </c>
      <c r="G53" s="126">
        <f t="shared" si="16"/>
        <v>29</v>
      </c>
      <c r="H53" s="161">
        <f t="shared" si="12"/>
        <v>2</v>
      </c>
      <c r="I53" s="133">
        <f t="shared" si="13"/>
        <v>31</v>
      </c>
    </row>
    <row r="54" spans="1:9" s="165" customFormat="1" x14ac:dyDescent="0.2">
      <c r="A54" s="157">
        <v>2015</v>
      </c>
      <c r="B54" s="161">
        <f t="shared" si="7"/>
        <v>0</v>
      </c>
      <c r="C54" s="127">
        <f t="shared" si="14"/>
        <v>1</v>
      </c>
      <c r="D54" s="161">
        <f t="shared" si="9"/>
        <v>0</v>
      </c>
      <c r="E54" s="126">
        <f t="shared" si="15"/>
        <v>1</v>
      </c>
      <c r="F54" s="161">
        <f>0+1+1+0</f>
        <v>2</v>
      </c>
      <c r="G54" s="126">
        <f t="shared" si="16"/>
        <v>31</v>
      </c>
      <c r="H54" s="161">
        <f t="shared" si="12"/>
        <v>2</v>
      </c>
      <c r="I54" s="133">
        <f t="shared" si="13"/>
        <v>33</v>
      </c>
    </row>
    <row r="55" spans="1:9" s="170" customFormat="1" x14ac:dyDescent="0.2">
      <c r="A55" s="17">
        <v>2016</v>
      </c>
      <c r="B55" s="161">
        <f t="shared" si="7"/>
        <v>0</v>
      </c>
      <c r="C55" s="127">
        <f t="shared" si="14"/>
        <v>1</v>
      </c>
      <c r="D55" s="161">
        <f t="shared" si="9"/>
        <v>0</v>
      </c>
      <c r="E55" s="126">
        <f t="shared" si="15"/>
        <v>1</v>
      </c>
      <c r="F55" s="161">
        <f>0+1+1+0</f>
        <v>2</v>
      </c>
      <c r="G55" s="126">
        <f t="shared" si="16"/>
        <v>33</v>
      </c>
      <c r="H55" s="161">
        <f t="shared" si="12"/>
        <v>2</v>
      </c>
      <c r="I55" s="133">
        <f t="shared" si="13"/>
        <v>35</v>
      </c>
    </row>
    <row r="56" spans="1:9" s="170" customFormat="1" x14ac:dyDescent="0.2">
      <c r="A56" s="17">
        <v>2017</v>
      </c>
      <c r="B56" s="161">
        <f t="shared" si="7"/>
        <v>0</v>
      </c>
      <c r="C56" s="127">
        <f t="shared" si="14"/>
        <v>1</v>
      </c>
      <c r="D56" s="161">
        <f t="shared" si="9"/>
        <v>0</v>
      </c>
      <c r="E56" s="126">
        <f t="shared" si="15"/>
        <v>1</v>
      </c>
      <c r="F56" s="161">
        <f>0+1+0+1</f>
        <v>2</v>
      </c>
      <c r="G56" s="126">
        <f t="shared" si="16"/>
        <v>35</v>
      </c>
      <c r="H56" s="161">
        <f t="shared" ref="H56:H61" si="17">B56+D56+F56</f>
        <v>2</v>
      </c>
      <c r="I56" s="133">
        <f t="shared" ref="I56:I61" si="18">I55+H56</f>
        <v>37</v>
      </c>
    </row>
    <row r="57" spans="1:9" s="170" customFormat="1" x14ac:dyDescent="0.2">
      <c r="A57" s="17">
        <v>2018</v>
      </c>
      <c r="B57" s="161">
        <f t="shared" si="7"/>
        <v>0</v>
      </c>
      <c r="C57" s="127">
        <f t="shared" ref="C57:C63" si="19">C56+B57</f>
        <v>1</v>
      </c>
      <c r="D57" s="161">
        <f t="shared" si="9"/>
        <v>0</v>
      </c>
      <c r="E57" s="126">
        <f t="shared" ref="E57:E63" si="20">E56+D57</f>
        <v>1</v>
      </c>
      <c r="F57" s="161">
        <f>0+0+1+1</f>
        <v>2</v>
      </c>
      <c r="G57" s="126">
        <f t="shared" ref="G57:G63" si="21">G56+F57</f>
        <v>37</v>
      </c>
      <c r="H57" s="161">
        <f t="shared" si="17"/>
        <v>2</v>
      </c>
      <c r="I57" s="133">
        <f t="shared" si="18"/>
        <v>39</v>
      </c>
    </row>
    <row r="58" spans="1:9" s="170" customFormat="1" x14ac:dyDescent="0.2">
      <c r="A58" s="17">
        <v>2019</v>
      </c>
      <c r="B58" s="161">
        <f>0+0+0+0</f>
        <v>0</v>
      </c>
      <c r="C58" s="127">
        <f t="shared" si="19"/>
        <v>1</v>
      </c>
      <c r="D58" s="161">
        <f t="shared" si="9"/>
        <v>0</v>
      </c>
      <c r="E58" s="126">
        <f t="shared" si="20"/>
        <v>1</v>
      </c>
      <c r="F58" s="161">
        <f>0+0+0+0</f>
        <v>0</v>
      </c>
      <c r="G58" s="126">
        <f t="shared" si="21"/>
        <v>37</v>
      </c>
      <c r="H58" s="161">
        <f t="shared" si="17"/>
        <v>0</v>
      </c>
      <c r="I58" s="133">
        <f t="shared" si="18"/>
        <v>39</v>
      </c>
    </row>
    <row r="59" spans="1:9" s="170" customFormat="1" x14ac:dyDescent="0.2">
      <c r="A59" s="17">
        <v>2020</v>
      </c>
      <c r="B59" s="161">
        <f>0+0+0+0</f>
        <v>0</v>
      </c>
      <c r="C59" s="127">
        <f t="shared" si="19"/>
        <v>1</v>
      </c>
      <c r="D59" s="161">
        <f t="shared" si="9"/>
        <v>0</v>
      </c>
      <c r="E59" s="126">
        <f t="shared" si="20"/>
        <v>1</v>
      </c>
      <c r="F59" s="161">
        <f>0+0+0+0</f>
        <v>0</v>
      </c>
      <c r="G59" s="126">
        <f t="shared" si="21"/>
        <v>37</v>
      </c>
      <c r="H59" s="161">
        <f t="shared" si="17"/>
        <v>0</v>
      </c>
      <c r="I59" s="133">
        <f t="shared" si="18"/>
        <v>39</v>
      </c>
    </row>
    <row r="60" spans="1:9" s="170" customFormat="1" x14ac:dyDescent="0.2">
      <c r="A60" s="17">
        <v>2021</v>
      </c>
      <c r="B60" s="161">
        <f>0+0+0+0</f>
        <v>0</v>
      </c>
      <c r="C60" s="127">
        <f t="shared" si="19"/>
        <v>1</v>
      </c>
      <c r="D60" s="161">
        <f>0+0+0+0</f>
        <v>0</v>
      </c>
      <c r="E60" s="126">
        <f t="shared" si="20"/>
        <v>1</v>
      </c>
      <c r="F60" s="161">
        <f>0+0+1+1</f>
        <v>2</v>
      </c>
      <c r="G60" s="126">
        <f t="shared" si="21"/>
        <v>39</v>
      </c>
      <c r="H60" s="161">
        <f t="shared" si="17"/>
        <v>2</v>
      </c>
      <c r="I60" s="133">
        <f t="shared" si="18"/>
        <v>41</v>
      </c>
    </row>
    <row r="61" spans="1:9" s="170" customFormat="1" x14ac:dyDescent="0.2">
      <c r="A61" s="17">
        <v>2022</v>
      </c>
      <c r="B61" s="175">
        <f>0+0+0+0</f>
        <v>0</v>
      </c>
      <c r="C61" s="151">
        <f t="shared" si="19"/>
        <v>1</v>
      </c>
      <c r="D61" s="175">
        <f>0+0+0+0</f>
        <v>0</v>
      </c>
      <c r="E61" s="177">
        <f t="shared" si="20"/>
        <v>1</v>
      </c>
      <c r="F61" s="175">
        <f>1+0+0+0</f>
        <v>1</v>
      </c>
      <c r="G61" s="177">
        <f t="shared" si="21"/>
        <v>40</v>
      </c>
      <c r="H61" s="175">
        <f t="shared" si="17"/>
        <v>1</v>
      </c>
      <c r="I61" s="178">
        <f t="shared" si="18"/>
        <v>42</v>
      </c>
    </row>
    <row r="62" spans="1:9" s="170" customFormat="1" x14ac:dyDescent="0.2">
      <c r="A62" s="17">
        <v>2023</v>
      </c>
      <c r="B62" s="175">
        <f>0+0+0+0</f>
        <v>0</v>
      </c>
      <c r="C62" s="151">
        <f t="shared" si="19"/>
        <v>1</v>
      </c>
      <c r="D62" s="175">
        <f>0</f>
        <v>0</v>
      </c>
      <c r="E62" s="177">
        <f t="shared" si="20"/>
        <v>1</v>
      </c>
      <c r="F62" s="175">
        <f>0+0+2+0</f>
        <v>2</v>
      </c>
      <c r="G62" s="177">
        <f t="shared" si="21"/>
        <v>42</v>
      </c>
      <c r="H62" s="175">
        <f>B62+D62+F62</f>
        <v>2</v>
      </c>
      <c r="I62" s="178">
        <f>I61+H62</f>
        <v>44</v>
      </c>
    </row>
    <row r="63" spans="1:9" x14ac:dyDescent="0.2">
      <c r="A63" s="221">
        <v>2024</v>
      </c>
      <c r="B63" s="51">
        <f>0</f>
        <v>0</v>
      </c>
      <c r="C63" s="151">
        <f t="shared" si="19"/>
        <v>1</v>
      </c>
      <c r="D63" s="51">
        <f>0</f>
        <v>0</v>
      </c>
      <c r="E63" s="177">
        <f t="shared" si="20"/>
        <v>1</v>
      </c>
      <c r="F63" s="63">
        <f>1+0+2+0</f>
        <v>3</v>
      </c>
      <c r="G63" s="177">
        <f t="shared" si="21"/>
        <v>45</v>
      </c>
      <c r="H63" s="175">
        <f>B63+D63+F63</f>
        <v>3</v>
      </c>
      <c r="I63" s="178">
        <f>I62+H63</f>
        <v>47</v>
      </c>
    </row>
    <row r="64" spans="1:9" x14ac:dyDescent="0.2">
      <c r="A64" s="17">
        <v>2025</v>
      </c>
      <c r="B64" s="51"/>
      <c r="C64" s="54"/>
      <c r="D64" s="51"/>
      <c r="E64" s="62"/>
      <c r="F64" s="63"/>
      <c r="G64" s="62"/>
      <c r="H64" s="63"/>
      <c r="I64" s="62"/>
    </row>
    <row r="65" spans="1:9" x14ac:dyDescent="0.2">
      <c r="A65" s="17">
        <v>2026</v>
      </c>
      <c r="B65" s="51"/>
      <c r="C65" s="54"/>
      <c r="D65" s="51"/>
      <c r="E65" s="62"/>
      <c r="F65" s="63"/>
      <c r="G65" s="62"/>
      <c r="H65" s="63"/>
      <c r="I65" s="62"/>
    </row>
    <row r="66" spans="1:9" x14ac:dyDescent="0.2">
      <c r="A66" s="17">
        <v>2027</v>
      </c>
      <c r="B66" s="51"/>
      <c r="C66" s="54"/>
      <c r="D66" s="51"/>
      <c r="E66" s="62"/>
      <c r="F66" s="63"/>
      <c r="G66" s="62"/>
      <c r="H66" s="63"/>
      <c r="I66" s="62"/>
    </row>
    <row r="67" spans="1:9" x14ac:dyDescent="0.2">
      <c r="A67" s="17">
        <v>2028</v>
      </c>
      <c r="B67" s="51"/>
      <c r="C67" s="54"/>
      <c r="D67" s="51"/>
      <c r="E67" s="62"/>
      <c r="F67" s="63"/>
      <c r="G67" s="62"/>
      <c r="H67" s="63"/>
      <c r="I67" s="62"/>
    </row>
    <row r="68" spans="1:9" x14ac:dyDescent="0.2">
      <c r="A68" s="17">
        <v>2029</v>
      </c>
      <c r="B68" s="51"/>
      <c r="C68" s="54"/>
      <c r="D68" s="51"/>
      <c r="E68" s="62"/>
      <c r="F68" s="63"/>
      <c r="G68" s="62"/>
      <c r="H68" s="63"/>
      <c r="I68" s="62"/>
    </row>
    <row r="69" spans="1:9" x14ac:dyDescent="0.2">
      <c r="A69" s="17">
        <v>2030</v>
      </c>
      <c r="B69" s="51"/>
      <c r="C69" s="54"/>
      <c r="D69" s="51"/>
      <c r="E69" s="62"/>
      <c r="F69" s="63"/>
      <c r="G69" s="62"/>
      <c r="H69" s="63"/>
      <c r="I69" s="62"/>
    </row>
    <row r="70" spans="1:9" x14ac:dyDescent="0.2">
      <c r="A70" s="17"/>
      <c r="B70" s="51"/>
      <c r="C70" s="54"/>
      <c r="D70" s="51"/>
      <c r="E70" s="62"/>
      <c r="F70" s="63"/>
      <c r="G70" s="62"/>
      <c r="H70" s="63"/>
      <c r="I70" s="62"/>
    </row>
    <row r="71" spans="1:9" x14ac:dyDescent="0.2">
      <c r="A71" s="17"/>
      <c r="B71" s="51"/>
      <c r="C71" s="54"/>
      <c r="D71" s="51"/>
      <c r="E71" s="62"/>
      <c r="F71" s="63"/>
      <c r="G71" s="62"/>
      <c r="H71" s="63"/>
      <c r="I71" s="62"/>
    </row>
    <row r="72" spans="1:9" x14ac:dyDescent="0.2">
      <c r="A72" s="18"/>
      <c r="B72" s="81"/>
      <c r="C72" s="58"/>
      <c r="D72" s="81"/>
      <c r="E72" s="75"/>
      <c r="F72" s="74"/>
      <c r="G72" s="75"/>
      <c r="H72" s="74"/>
      <c r="I72" s="75"/>
    </row>
    <row r="73" spans="1:9" x14ac:dyDescent="0.2">
      <c r="B73" s="12"/>
      <c r="C73" s="12"/>
    </row>
    <row r="74" spans="1:9" x14ac:dyDescent="0.2">
      <c r="B74" s="12"/>
      <c r="C74" s="12"/>
    </row>
    <row r="75" spans="1:9" x14ac:dyDescent="0.2">
      <c r="B75" s="12"/>
      <c r="C75" s="12"/>
    </row>
    <row r="76" spans="1:9" x14ac:dyDescent="0.2">
      <c r="B76" s="12"/>
      <c r="C76" s="12"/>
    </row>
    <row r="77" spans="1:9" x14ac:dyDescent="0.2">
      <c r="B77" s="12"/>
      <c r="C77" s="12"/>
    </row>
  </sheetData>
  <sheetProtection formatCells="0" formatColumns="0" formatRows="0" insertColumns="0" insertRows="0" insertHyperlinks="0" deleteColumns="0" deleteRows="0" sort="0" autoFilter="0" pivotTables="0"/>
  <mergeCells count="4">
    <mergeCell ref="B1:C1"/>
    <mergeCell ref="H1:I1"/>
    <mergeCell ref="D1:E1"/>
    <mergeCell ref="F1:G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  <ignoredErrors>
    <ignoredError sqref="H43:H45 H29:H42 C43:F45 C48:E48 C49 F46:F47 G46:H47 C46:E47 G48:H48 I48 F48 C50 I49 G49:H49 I50 D49:F49 G50:H50 D50:E50 C51:C53 E51:F52 F50 E5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5"/>
  </sheetPr>
  <dimension ref="A1:M22"/>
  <sheetViews>
    <sheetView showGridLines="0" workbookViewId="0">
      <selection activeCell="J1" sqref="J1:K1"/>
    </sheetView>
  </sheetViews>
  <sheetFormatPr defaultColWidth="9.140625" defaultRowHeight="19.5" x14ac:dyDescent="0.25"/>
  <cols>
    <col min="1" max="1" width="18.42578125" style="101" customWidth="1"/>
    <col min="2" max="3" width="9.140625" style="101"/>
    <col min="4" max="4" width="13.42578125" style="101" customWidth="1"/>
    <col min="5" max="6" width="9.140625" style="101"/>
    <col min="7" max="7" width="16.42578125" style="101" customWidth="1"/>
    <col min="8" max="8" width="2.42578125" style="101" customWidth="1"/>
    <col min="9" max="9" width="12.42578125" style="101" customWidth="1"/>
    <col min="10" max="11" width="17.85546875" style="101" bestFit="1" customWidth="1"/>
    <col min="12" max="12" width="19.42578125" style="110" bestFit="1" customWidth="1"/>
    <col min="13" max="16384" width="9.140625" style="101"/>
  </cols>
  <sheetData>
    <row r="1" spans="1:13" x14ac:dyDescent="0.25">
      <c r="A1" s="144"/>
      <c r="J1" s="427">
        <v>45664</v>
      </c>
      <c r="K1" s="427"/>
    </row>
    <row r="2" spans="1:13" ht="20.25" thickBot="1" x14ac:dyDescent="0.3"/>
    <row r="3" spans="1:13" ht="36.75" thickTop="1" thickBot="1" x14ac:dyDescent="0.5">
      <c r="A3" s="222" t="s">
        <v>25</v>
      </c>
      <c r="B3" s="223"/>
      <c r="C3" s="223"/>
      <c r="D3" s="223"/>
      <c r="E3" s="223"/>
      <c r="F3" s="223"/>
      <c r="G3" s="223"/>
      <c r="H3" s="223"/>
      <c r="I3" s="223"/>
      <c r="J3" s="223"/>
      <c r="K3" s="111"/>
      <c r="L3" s="112"/>
      <c r="M3" s="104"/>
    </row>
    <row r="4" spans="1:13" ht="20.25" thickTop="1" x14ac:dyDescent="0.25"/>
    <row r="5" spans="1:13" x14ac:dyDescent="0.25">
      <c r="A5" s="188"/>
    </row>
    <row r="7" spans="1:13" ht="24.95" customHeight="1" x14ac:dyDescent="0.25">
      <c r="A7" s="101" t="s">
        <v>4</v>
      </c>
      <c r="B7" s="113"/>
      <c r="C7" s="114"/>
      <c r="E7" s="113"/>
      <c r="F7" s="115"/>
      <c r="G7" s="145">
        <v>2.5</v>
      </c>
      <c r="H7" s="145"/>
      <c r="I7" s="117" t="s">
        <v>26</v>
      </c>
    </row>
    <row r="8" spans="1:13" ht="24.95" customHeight="1" x14ac:dyDescent="0.25">
      <c r="A8" s="115" t="s">
        <v>35</v>
      </c>
      <c r="B8" s="113"/>
      <c r="C8" s="114"/>
      <c r="D8" s="115"/>
      <c r="E8" s="113"/>
      <c r="F8" s="115"/>
      <c r="G8" s="145">
        <v>2.2000000000000002</v>
      </c>
      <c r="H8" s="145"/>
      <c r="I8" s="117" t="s">
        <v>26</v>
      </c>
    </row>
    <row r="9" spans="1:13" ht="24.95" customHeight="1" x14ac:dyDescent="0.25">
      <c r="A9" s="101" t="s">
        <v>6</v>
      </c>
      <c r="F9" s="115"/>
      <c r="G9" s="145">
        <v>3.9</v>
      </c>
      <c r="H9" s="145"/>
      <c r="I9" s="117" t="s">
        <v>26</v>
      </c>
    </row>
    <row r="10" spans="1:13" ht="24.95" customHeight="1" x14ac:dyDescent="0.25">
      <c r="A10" s="101" t="s">
        <v>7</v>
      </c>
      <c r="G10" s="145">
        <v>2</v>
      </c>
      <c r="H10" s="145"/>
      <c r="I10" s="117" t="s">
        <v>26</v>
      </c>
    </row>
    <row r="11" spans="1:13" x14ac:dyDescent="0.25">
      <c r="G11" s="118"/>
      <c r="H11" s="118"/>
      <c r="I11" s="118"/>
      <c r="J11" s="118"/>
    </row>
    <row r="12" spans="1:13" x14ac:dyDescent="0.25">
      <c r="A12" s="118" t="s">
        <v>27</v>
      </c>
      <c r="G12" s="119">
        <f>G7+G8+G9+G10</f>
        <v>10.6</v>
      </c>
      <c r="H12" s="119"/>
      <c r="I12" s="120" t="s">
        <v>26</v>
      </c>
      <c r="J12" s="118"/>
    </row>
    <row r="13" spans="1:13" s="108" customFormat="1" ht="19.5" customHeight="1" x14ac:dyDescent="0.2">
      <c r="G13" s="121"/>
      <c r="H13" s="121"/>
      <c r="L13" s="122"/>
    </row>
    <row r="14" spans="1:13" s="108" customFormat="1" ht="24.95" customHeight="1" x14ac:dyDescent="0.25">
      <c r="A14" s="101" t="s">
        <v>28</v>
      </c>
      <c r="G14" s="116">
        <v>6.1</v>
      </c>
      <c r="H14" s="116"/>
      <c r="I14" s="117" t="s">
        <v>26</v>
      </c>
      <c r="L14" s="122"/>
    </row>
    <row r="15" spans="1:13" s="108" customFormat="1" ht="24.95" customHeight="1" x14ac:dyDescent="0.25">
      <c r="A15" s="101" t="s">
        <v>29</v>
      </c>
      <c r="G15" s="116">
        <v>5.6</v>
      </c>
      <c r="H15" s="116"/>
      <c r="I15" s="117" t="s">
        <v>26</v>
      </c>
      <c r="L15" s="122"/>
    </row>
    <row r="16" spans="1:13" ht="24.95" customHeight="1" x14ac:dyDescent="0.25">
      <c r="A16" s="101" t="s">
        <v>30</v>
      </c>
      <c r="G16" s="145">
        <v>5.5</v>
      </c>
      <c r="H16" s="145"/>
      <c r="I16" s="117" t="s">
        <v>26</v>
      </c>
    </row>
    <row r="17" spans="1:12" ht="24.95" customHeight="1" x14ac:dyDescent="0.25">
      <c r="A17" s="101" t="s">
        <v>31</v>
      </c>
      <c r="G17" s="123">
        <v>396960</v>
      </c>
      <c r="H17" s="123"/>
      <c r="I17" s="117" t="s">
        <v>32</v>
      </c>
    </row>
    <row r="18" spans="1:12" ht="24.95" customHeight="1" x14ac:dyDescent="0.25">
      <c r="A18" s="101" t="s">
        <v>59</v>
      </c>
      <c r="G18" s="116">
        <v>1.4</v>
      </c>
      <c r="I18" s="117" t="s">
        <v>26</v>
      </c>
    </row>
    <row r="21" spans="1:12" s="108" customFormat="1" ht="12.75" x14ac:dyDescent="0.2">
      <c r="L21" s="147"/>
    </row>
    <row r="22" spans="1:12" x14ac:dyDescent="0.25">
      <c r="A22" s="124" t="s">
        <v>33</v>
      </c>
    </row>
  </sheetData>
  <mergeCells count="1">
    <mergeCell ref="J1:K1"/>
  </mergeCells>
  <phoneticPr fontId="0" type="noConversion"/>
  <pageMargins left="0.75" right="0.51" top="0.59" bottom="0.6" header="0.34" footer="0.4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8000"/>
  </sheetPr>
  <dimension ref="A1:M22"/>
  <sheetViews>
    <sheetView showGridLines="0" workbookViewId="0">
      <selection activeCell="J1" sqref="J1:K1"/>
    </sheetView>
  </sheetViews>
  <sheetFormatPr defaultColWidth="9.140625" defaultRowHeight="19.5" x14ac:dyDescent="0.25"/>
  <cols>
    <col min="1" max="1" width="18.42578125" style="101" customWidth="1"/>
    <col min="2" max="3" width="9.140625" style="101"/>
    <col min="4" max="4" width="13.42578125" style="101" customWidth="1"/>
    <col min="5" max="6" width="9.140625" style="101"/>
    <col min="7" max="7" width="16.42578125" style="101" customWidth="1"/>
    <col min="8" max="8" width="2.42578125" style="101" customWidth="1"/>
    <col min="9" max="9" width="12.42578125" style="101" customWidth="1"/>
    <col min="10" max="11" width="17.85546875" style="101" bestFit="1" customWidth="1"/>
    <col min="12" max="12" width="19.42578125" style="110" bestFit="1" customWidth="1"/>
    <col min="13" max="16384" width="9.140625" style="101"/>
  </cols>
  <sheetData>
    <row r="1" spans="1:13" x14ac:dyDescent="0.25">
      <c r="A1" s="144"/>
      <c r="J1" s="428">
        <v>45664</v>
      </c>
      <c r="K1" s="428"/>
    </row>
    <row r="3" spans="1:13" ht="35.25" x14ac:dyDescent="0.45">
      <c r="A3" s="378" t="s">
        <v>62</v>
      </c>
      <c r="B3" s="379"/>
      <c r="C3" s="379"/>
      <c r="D3" s="379"/>
      <c r="E3" s="379"/>
      <c r="F3" s="377"/>
      <c r="G3" s="377"/>
      <c r="H3" s="377"/>
      <c r="I3" s="377"/>
      <c r="J3" s="377"/>
      <c r="K3" s="112"/>
      <c r="L3" s="112"/>
      <c r="M3" s="104"/>
    </row>
    <row r="4" spans="1:13" ht="24.75" customHeight="1" x14ac:dyDescent="0.25"/>
    <row r="5" spans="1:13" ht="20.25" customHeight="1" x14ac:dyDescent="0.25">
      <c r="A5" s="188"/>
    </row>
    <row r="6" spans="1:13" s="380" customFormat="1" ht="20.25" customHeight="1" x14ac:dyDescent="0.25">
      <c r="A6" s="392" t="s">
        <v>64</v>
      </c>
      <c r="G6" s="395" t="s">
        <v>72</v>
      </c>
      <c r="L6" s="381"/>
    </row>
    <row r="7" spans="1:13" s="386" customFormat="1" ht="23.25" customHeight="1" x14ac:dyDescent="0.2">
      <c r="A7" s="382" t="s">
        <v>4</v>
      </c>
      <c r="B7" s="383"/>
      <c r="C7" s="384"/>
      <c r="D7" s="382"/>
      <c r="F7" s="382"/>
      <c r="G7" s="394" t="s">
        <v>72</v>
      </c>
      <c r="H7" s="385"/>
      <c r="L7" s="387"/>
    </row>
    <row r="8" spans="1:13" s="386" customFormat="1" ht="20.25" customHeight="1" x14ac:dyDescent="0.2">
      <c r="A8" s="386" t="s">
        <v>63</v>
      </c>
      <c r="F8" s="382"/>
      <c r="G8" s="382" t="s">
        <v>74</v>
      </c>
      <c r="H8" s="385"/>
      <c r="L8" s="387"/>
    </row>
    <row r="9" spans="1:13" s="386" customFormat="1" ht="20.25" customHeight="1" x14ac:dyDescent="0.2">
      <c r="G9" s="393" t="s">
        <v>73</v>
      </c>
      <c r="H9" s="385"/>
      <c r="L9" s="387"/>
    </row>
    <row r="10" spans="1:13" s="386" customFormat="1" ht="20.25" customHeight="1" x14ac:dyDescent="0.2">
      <c r="G10" s="382" t="s">
        <v>76</v>
      </c>
      <c r="H10" s="388"/>
      <c r="I10" s="388"/>
      <c r="J10" s="388"/>
      <c r="L10" s="387"/>
    </row>
    <row r="11" spans="1:13" s="386" customFormat="1" ht="20.25" customHeight="1" x14ac:dyDescent="0.25">
      <c r="A11" s="392" t="s">
        <v>65</v>
      </c>
      <c r="G11" s="393" t="s">
        <v>84</v>
      </c>
      <c r="H11" s="385"/>
      <c r="L11" s="387"/>
    </row>
    <row r="12" spans="1:13" s="386" customFormat="1" ht="23.25" customHeight="1" x14ac:dyDescent="0.2">
      <c r="A12" s="386" t="s">
        <v>5</v>
      </c>
      <c r="G12" s="382" t="s">
        <v>77</v>
      </c>
      <c r="H12" s="389"/>
      <c r="L12" s="387"/>
    </row>
    <row r="13" spans="1:13" s="386" customFormat="1" ht="20.25" customHeight="1" x14ac:dyDescent="0.2">
      <c r="A13" s="386" t="s">
        <v>66</v>
      </c>
      <c r="G13" s="382" t="s">
        <v>78</v>
      </c>
      <c r="H13" s="389"/>
      <c r="L13" s="387"/>
    </row>
    <row r="14" spans="1:13" s="386" customFormat="1" ht="20.25" customHeight="1" x14ac:dyDescent="0.2">
      <c r="A14" s="386" t="s">
        <v>67</v>
      </c>
      <c r="G14" s="382" t="s">
        <v>79</v>
      </c>
      <c r="H14" s="389"/>
      <c r="L14" s="387"/>
    </row>
    <row r="15" spans="1:13" s="386" customFormat="1" ht="20.25" customHeight="1" x14ac:dyDescent="0.2">
      <c r="A15" s="386" t="s">
        <v>68</v>
      </c>
      <c r="G15" s="393" t="s">
        <v>80</v>
      </c>
      <c r="H15" s="385"/>
      <c r="L15" s="387"/>
    </row>
    <row r="16" spans="1:13" s="386" customFormat="1" ht="20.25" customHeight="1" x14ac:dyDescent="0.2">
      <c r="A16" s="386" t="s">
        <v>69</v>
      </c>
      <c r="G16" s="393"/>
      <c r="H16" s="390"/>
      <c r="L16" s="387"/>
    </row>
    <row r="17" spans="1:12" s="386" customFormat="1" ht="20.25" customHeight="1" x14ac:dyDescent="0.2">
      <c r="A17" s="386" t="s">
        <v>70</v>
      </c>
      <c r="G17" s="382"/>
      <c r="L17" s="387"/>
    </row>
    <row r="18" spans="1:12" s="386" customFormat="1" ht="20.25" customHeight="1" x14ac:dyDescent="0.25">
      <c r="A18" s="386" t="s">
        <v>71</v>
      </c>
      <c r="G18" s="395" t="s">
        <v>81</v>
      </c>
      <c r="L18" s="387"/>
    </row>
    <row r="19" spans="1:12" s="386" customFormat="1" ht="20.25" customHeight="1" x14ac:dyDescent="0.2">
      <c r="G19" s="386" t="s">
        <v>83</v>
      </c>
      <c r="L19" s="387"/>
    </row>
    <row r="20" spans="1:12" s="386" customFormat="1" ht="20.25" customHeight="1" x14ac:dyDescent="0.2">
      <c r="A20" s="391"/>
      <c r="G20" s="382" t="s">
        <v>75</v>
      </c>
      <c r="L20" s="387"/>
    </row>
    <row r="21" spans="1:12" s="380" customFormat="1" ht="20.25" customHeight="1" x14ac:dyDescent="0.25">
      <c r="G21" s="386" t="s">
        <v>82</v>
      </c>
      <c r="L21" s="381"/>
    </row>
    <row r="22" spans="1:12" s="380" customFormat="1" x14ac:dyDescent="0.25">
      <c r="G22" s="386" t="s">
        <v>85</v>
      </c>
      <c r="L22" s="381"/>
    </row>
  </sheetData>
  <mergeCells count="1">
    <mergeCell ref="J1:K1"/>
  </mergeCells>
  <pageMargins left="0.75" right="0.51" top="0.59" bottom="0.6" header="0.34" footer="0.4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Y96"/>
  <sheetViews>
    <sheetView showGridLines="0" showZeros="0" zoomScaleNormal="100" workbookViewId="0">
      <pane ySplit="2" topLeftCell="A48" activePane="bottomLeft" state="frozen"/>
      <selection activeCell="P87" sqref="P87"/>
      <selection pane="bottomLeft" activeCell="T57" sqref="T57"/>
    </sheetView>
  </sheetViews>
  <sheetFormatPr defaultColWidth="8.85546875" defaultRowHeight="12.75" x14ac:dyDescent="0.2"/>
  <cols>
    <col min="1" max="1" width="5.5703125" style="1" customWidth="1"/>
    <col min="2" max="21" width="6.5703125" customWidth="1"/>
  </cols>
  <sheetData>
    <row r="1" spans="1:21" s="247" customFormat="1" ht="27" customHeight="1" x14ac:dyDescent="0.2">
      <c r="A1" s="246"/>
      <c r="B1" s="429" t="s">
        <v>53</v>
      </c>
      <c r="C1" s="430"/>
      <c r="D1" s="429" t="s">
        <v>52</v>
      </c>
      <c r="E1" s="430"/>
      <c r="F1" s="429" t="s">
        <v>54</v>
      </c>
      <c r="G1" s="430"/>
      <c r="H1" s="431" t="s">
        <v>15</v>
      </c>
      <c r="I1" s="432"/>
      <c r="J1" s="431" t="s">
        <v>16</v>
      </c>
      <c r="K1" s="432"/>
      <c r="L1" s="431" t="s">
        <v>61</v>
      </c>
      <c r="M1" s="432"/>
      <c r="N1" s="431" t="s">
        <v>17</v>
      </c>
      <c r="O1" s="432"/>
      <c r="P1" s="429" t="s">
        <v>55</v>
      </c>
      <c r="Q1" s="430"/>
      <c r="R1" s="431" t="s">
        <v>18</v>
      </c>
      <c r="S1" s="432"/>
      <c r="T1" s="431" t="s">
        <v>19</v>
      </c>
      <c r="U1" s="433"/>
    </row>
    <row r="2" spans="1:21" s="2" customFormat="1" ht="25.5" customHeight="1" thickBot="1" x14ac:dyDescent="0.25">
      <c r="A2" s="5" t="s">
        <v>9</v>
      </c>
      <c r="B2" s="3" t="s">
        <v>0</v>
      </c>
      <c r="C2" s="4" t="s">
        <v>1</v>
      </c>
      <c r="D2" s="3" t="s">
        <v>0</v>
      </c>
      <c r="E2" s="5" t="s">
        <v>1</v>
      </c>
      <c r="F2" s="3" t="s">
        <v>0</v>
      </c>
      <c r="G2" s="4" t="s">
        <v>1</v>
      </c>
      <c r="H2" s="3" t="s">
        <v>0</v>
      </c>
      <c r="I2" s="4" t="s">
        <v>1</v>
      </c>
      <c r="J2" s="3" t="s">
        <v>0</v>
      </c>
      <c r="K2" s="4" t="s">
        <v>1</v>
      </c>
      <c r="L2" s="3" t="s">
        <v>0</v>
      </c>
      <c r="M2" s="4" t="s">
        <v>1</v>
      </c>
      <c r="N2" s="3" t="s">
        <v>0</v>
      </c>
      <c r="O2" s="4" t="s">
        <v>1</v>
      </c>
      <c r="P2" s="3" t="s">
        <v>0</v>
      </c>
      <c r="Q2" s="4" t="s">
        <v>1</v>
      </c>
      <c r="R2" s="3" t="s">
        <v>0</v>
      </c>
      <c r="S2" s="4" t="s">
        <v>1</v>
      </c>
      <c r="T2" s="3" t="s">
        <v>0</v>
      </c>
      <c r="U2" s="4" t="s">
        <v>1</v>
      </c>
    </row>
    <row r="3" spans="1:21" s="67" customFormat="1" ht="17.25" customHeight="1" thickTop="1" x14ac:dyDescent="0.2">
      <c r="A3" s="17">
        <v>1964</v>
      </c>
      <c r="B3" s="51"/>
      <c r="C3" s="65"/>
      <c r="D3" s="86">
        <f>'Nj-AD+LD'!AI3</f>
        <v>4</v>
      </c>
      <c r="E3" s="65">
        <f>'Nj-AD+LD'!AK3</f>
        <v>4</v>
      </c>
      <c r="F3" s="51">
        <f>'Nj-AD+LD'!AE3</f>
        <v>7</v>
      </c>
      <c r="G3" s="59">
        <f>'Nj-AD+LD'!AF3</f>
        <v>7</v>
      </c>
      <c r="H3" s="60"/>
      <c r="I3" s="59"/>
      <c r="J3" s="60"/>
      <c r="K3" s="59"/>
      <c r="L3" s="60"/>
      <c r="M3" s="59"/>
      <c r="N3" s="60"/>
      <c r="O3" s="59"/>
      <c r="P3" s="60"/>
      <c r="Q3" s="59"/>
      <c r="R3" s="60"/>
      <c r="S3" s="59"/>
      <c r="T3" s="60"/>
      <c r="U3" s="59"/>
    </row>
    <row r="4" spans="1:21" s="67" customFormat="1" x14ac:dyDescent="0.2">
      <c r="A4" s="17">
        <v>1965</v>
      </c>
      <c r="B4" s="51"/>
      <c r="C4" s="52"/>
      <c r="D4" s="61">
        <f>'Nj-AD+LD'!AI4</f>
        <v>8</v>
      </c>
      <c r="E4" s="52">
        <f>'Nj-AD+LD'!AK4</f>
        <v>12</v>
      </c>
      <c r="F4" s="51">
        <f>'Nj-AD+LD'!AE4</f>
        <v>14</v>
      </c>
      <c r="G4" s="52">
        <f>'Nj-AD+LD'!AF4</f>
        <v>21</v>
      </c>
      <c r="H4" s="51"/>
      <c r="I4" s="53"/>
      <c r="J4" s="51"/>
      <c r="K4" s="53"/>
      <c r="L4" s="51"/>
      <c r="M4" s="53"/>
      <c r="N4" s="51"/>
      <c r="O4" s="53"/>
      <c r="P4" s="51"/>
      <c r="Q4" s="53"/>
      <c r="R4" s="51"/>
      <c r="S4" s="53"/>
      <c r="T4" s="51"/>
      <c r="U4" s="54"/>
    </row>
    <row r="5" spans="1:21" s="67" customFormat="1" x14ac:dyDescent="0.2">
      <c r="A5" s="17">
        <v>1966</v>
      </c>
      <c r="B5" s="51"/>
      <c r="C5" s="52"/>
      <c r="D5" s="61">
        <f>'Nj-AD+LD'!AI5</f>
        <v>23</v>
      </c>
      <c r="E5" s="52">
        <f>'Nj-AD+LD'!AK5</f>
        <v>35</v>
      </c>
      <c r="F5" s="51">
        <f>'Nj-AD+LD'!AE5</f>
        <v>39</v>
      </c>
      <c r="G5" s="52">
        <f>'Nj-AD+LD'!AF5</f>
        <v>60</v>
      </c>
      <c r="H5" s="51"/>
      <c r="I5" s="53"/>
      <c r="J5" s="51"/>
      <c r="K5" s="53"/>
      <c r="L5" s="51"/>
      <c r="M5" s="53"/>
      <c r="N5" s="51"/>
      <c r="O5" s="53"/>
      <c r="P5" s="51"/>
      <c r="Q5" s="53"/>
      <c r="R5" s="51"/>
      <c r="S5" s="53"/>
      <c r="T5" s="51"/>
      <c r="U5" s="54"/>
    </row>
    <row r="6" spans="1:21" s="67" customFormat="1" x14ac:dyDescent="0.2">
      <c r="A6" s="17">
        <v>1967</v>
      </c>
      <c r="B6" s="51"/>
      <c r="C6" s="52"/>
      <c r="D6" s="61">
        <f>'Nj-AD+LD'!AI6</f>
        <v>17</v>
      </c>
      <c r="E6" s="52">
        <f>'Nj-AD+LD'!AK6</f>
        <v>52</v>
      </c>
      <c r="F6" s="51">
        <f>'Nj-AD+LD'!AE6</f>
        <v>57</v>
      </c>
      <c r="G6" s="52">
        <f>'Nj-AD+LD'!AF6</f>
        <v>117</v>
      </c>
      <c r="H6" s="51"/>
      <c r="I6" s="53"/>
      <c r="J6" s="51"/>
      <c r="K6" s="53"/>
      <c r="L6" s="51"/>
      <c r="M6" s="53"/>
      <c r="N6" s="51"/>
      <c r="O6" s="53"/>
      <c r="P6" s="51"/>
      <c r="Q6" s="53"/>
      <c r="R6" s="51"/>
      <c r="S6" s="53"/>
      <c r="T6" s="51"/>
      <c r="U6" s="54"/>
    </row>
    <row r="7" spans="1:21" s="67" customFormat="1" x14ac:dyDescent="0.2">
      <c r="A7" s="17">
        <v>1968</v>
      </c>
      <c r="B7" s="51"/>
      <c r="C7" s="52"/>
      <c r="D7" s="61">
        <f>'Nj-AD+LD'!AI7</f>
        <v>16</v>
      </c>
      <c r="E7" s="52">
        <f>'Nj-AD+LD'!AK7</f>
        <v>68</v>
      </c>
      <c r="F7" s="51">
        <f>'Nj-AD+LD'!AE7</f>
        <v>71</v>
      </c>
      <c r="G7" s="52">
        <f>'Nj-AD+LD'!AF7</f>
        <v>188</v>
      </c>
      <c r="H7" s="51"/>
      <c r="I7" s="53"/>
      <c r="J7" s="51"/>
      <c r="K7" s="53"/>
      <c r="L7" s="51"/>
      <c r="M7" s="53"/>
      <c r="N7" s="51"/>
      <c r="O7" s="53"/>
      <c r="P7" s="51"/>
      <c r="Q7" s="53"/>
      <c r="R7" s="51"/>
      <c r="S7" s="53"/>
      <c r="T7" s="51"/>
      <c r="U7" s="54"/>
    </row>
    <row r="8" spans="1:21" s="67" customFormat="1" x14ac:dyDescent="0.2">
      <c r="A8" s="17">
        <v>1969</v>
      </c>
      <c r="B8" s="51"/>
      <c r="C8" s="52"/>
      <c r="D8" s="61">
        <f>'Nj-AD+LD'!AI8</f>
        <v>7</v>
      </c>
      <c r="E8" s="52">
        <f>'Nj-AD+LD'!AK8</f>
        <v>75</v>
      </c>
      <c r="F8" s="51">
        <f>'Nj-AD+LD'!AE8</f>
        <v>96</v>
      </c>
      <c r="G8" s="52">
        <f>'Nj-AD+LD'!AF8</f>
        <v>284</v>
      </c>
      <c r="H8" s="51"/>
      <c r="I8" s="53"/>
      <c r="J8" s="51"/>
      <c r="K8" s="53"/>
      <c r="L8" s="51"/>
      <c r="M8" s="53"/>
      <c r="N8" s="51"/>
      <c r="O8" s="53"/>
      <c r="P8" s="51"/>
      <c r="Q8" s="53"/>
      <c r="R8" s="51"/>
      <c r="S8" s="53"/>
      <c r="T8" s="51"/>
      <c r="U8" s="54"/>
    </row>
    <row r="9" spans="1:21" s="67" customFormat="1" x14ac:dyDescent="0.2">
      <c r="A9" s="17">
        <v>1970</v>
      </c>
      <c r="B9" s="51"/>
      <c r="C9" s="52"/>
      <c r="D9" s="61">
        <f>'Nj-AD+LD'!AI9</f>
        <v>4</v>
      </c>
      <c r="E9" s="52">
        <f>'Nj-AD+LD'!AK9</f>
        <v>79</v>
      </c>
      <c r="F9" s="51">
        <f>'Nj-AD+LD'!AE9</f>
        <v>146</v>
      </c>
      <c r="G9" s="52">
        <f>'Nj-AD+LD'!AF9</f>
        <v>430</v>
      </c>
      <c r="H9" s="51"/>
      <c r="I9" s="53"/>
      <c r="J9" s="51"/>
      <c r="K9" s="53"/>
      <c r="L9" s="51"/>
      <c r="M9" s="53"/>
      <c r="N9" s="51"/>
      <c r="O9" s="53"/>
      <c r="P9" s="51"/>
      <c r="Q9" s="53"/>
      <c r="R9" s="51"/>
      <c r="S9" s="53"/>
      <c r="T9" s="51"/>
      <c r="U9" s="54"/>
    </row>
    <row r="10" spans="1:21" s="67" customFormat="1" x14ac:dyDescent="0.2">
      <c r="A10" s="17">
        <v>1971</v>
      </c>
      <c r="B10" s="51"/>
      <c r="C10" s="52"/>
      <c r="D10" s="61">
        <f>'Nj-AD+LD'!AI10</f>
        <v>16</v>
      </c>
      <c r="E10" s="52">
        <f>'Nj-AD+LD'!AK10</f>
        <v>95</v>
      </c>
      <c r="F10" s="51">
        <f>'Nj-AD+LD'!AE10</f>
        <v>146</v>
      </c>
      <c r="G10" s="52">
        <f>'Nj-AD+LD'!AF10</f>
        <v>576</v>
      </c>
      <c r="H10" s="51"/>
      <c r="I10" s="53"/>
      <c r="J10" s="51"/>
      <c r="K10" s="53"/>
      <c r="L10" s="51"/>
      <c r="M10" s="53"/>
      <c r="N10" s="51"/>
      <c r="O10" s="53"/>
      <c r="P10" s="51"/>
      <c r="Q10" s="53"/>
      <c r="R10" s="51"/>
      <c r="S10" s="53"/>
      <c r="T10" s="51"/>
      <c r="U10" s="54"/>
    </row>
    <row r="11" spans="1:21" s="67" customFormat="1" x14ac:dyDescent="0.2">
      <c r="A11" s="17">
        <v>1972</v>
      </c>
      <c r="B11" s="51"/>
      <c r="C11" s="52"/>
      <c r="D11" s="61">
        <f>'Nj-AD+LD'!AI11</f>
        <v>26</v>
      </c>
      <c r="E11" s="52">
        <f>'Nj-AD+LD'!AK11</f>
        <v>121</v>
      </c>
      <c r="F11" s="51">
        <f>'Nj-AD+LD'!AE11</f>
        <v>183</v>
      </c>
      <c r="G11" s="52">
        <f>'Nj-AD+LD'!AF11</f>
        <v>759</v>
      </c>
      <c r="H11" s="51"/>
      <c r="I11" s="53"/>
      <c r="J11" s="51"/>
      <c r="K11" s="53"/>
      <c r="L11" s="51"/>
      <c r="M11" s="53"/>
      <c r="N11" s="51"/>
      <c r="O11" s="53"/>
      <c r="P11" s="51"/>
      <c r="Q11" s="53"/>
      <c r="R11" s="51"/>
      <c r="S11" s="53"/>
      <c r="T11" s="51"/>
      <c r="U11" s="54"/>
    </row>
    <row r="12" spans="1:21" s="67" customFormat="1" x14ac:dyDescent="0.2">
      <c r="A12" s="17">
        <v>1973</v>
      </c>
      <c r="B12" s="51"/>
      <c r="C12" s="52"/>
      <c r="D12" s="61">
        <f>'Nj-AD+LD'!AI12</f>
        <v>30</v>
      </c>
      <c r="E12" s="52">
        <f>'Nj-AD+LD'!AK12</f>
        <v>151</v>
      </c>
      <c r="F12" s="51">
        <f>'Nj-AD+LD'!AE12</f>
        <v>192</v>
      </c>
      <c r="G12" s="52">
        <f>'Nj-AD+LD'!AF12</f>
        <v>951</v>
      </c>
      <c r="H12" s="51"/>
      <c r="I12" s="53"/>
      <c r="J12" s="51"/>
      <c r="K12" s="53"/>
      <c r="L12" s="51"/>
      <c r="M12" s="53"/>
      <c r="N12" s="51"/>
      <c r="O12" s="53"/>
      <c r="P12" s="51"/>
      <c r="Q12" s="53"/>
      <c r="R12" s="51"/>
      <c r="S12" s="53"/>
      <c r="T12" s="51"/>
      <c r="U12" s="54"/>
    </row>
    <row r="13" spans="1:21" s="67" customFormat="1" x14ac:dyDescent="0.2">
      <c r="A13" s="17">
        <v>1974</v>
      </c>
      <c r="B13" s="51"/>
      <c r="C13" s="52"/>
      <c r="D13" s="61">
        <f>'Nj-AD+LD'!AI13</f>
        <v>25</v>
      </c>
      <c r="E13" s="52">
        <f>'Nj-AD+LD'!AK13</f>
        <v>176</v>
      </c>
      <c r="F13" s="51">
        <f>'Nj-AD+LD'!AE13</f>
        <v>207</v>
      </c>
      <c r="G13" s="52">
        <f>'Nj-AD+LD'!AF13</f>
        <v>1158</v>
      </c>
      <c r="H13" s="51">
        <f>Pa!N13</f>
        <v>3</v>
      </c>
      <c r="I13" s="53">
        <f>Pa!P13</f>
        <v>3</v>
      </c>
      <c r="J13" s="51"/>
      <c r="K13" s="53"/>
      <c r="L13" s="51"/>
      <c r="M13" s="53"/>
      <c r="N13" s="51"/>
      <c r="O13" s="53"/>
      <c r="P13" s="51"/>
      <c r="Q13" s="53"/>
      <c r="R13" s="51"/>
      <c r="S13" s="53"/>
      <c r="T13" s="51"/>
      <c r="U13" s="54"/>
    </row>
    <row r="14" spans="1:21" s="67" customFormat="1" x14ac:dyDescent="0.2">
      <c r="A14" s="17">
        <v>1975</v>
      </c>
      <c r="B14" s="51"/>
      <c r="C14" s="52"/>
      <c r="D14" s="61">
        <f>'Nj-AD+LD'!AI14</f>
        <v>28</v>
      </c>
      <c r="E14" s="52">
        <f>'Nj-AD+LD'!AK14</f>
        <v>204</v>
      </c>
      <c r="F14" s="51">
        <f>'Nj-AD+LD'!AE14</f>
        <v>192</v>
      </c>
      <c r="G14" s="52">
        <f>'Nj-AD+LD'!AF14</f>
        <v>1350</v>
      </c>
      <c r="H14" s="51">
        <f>Pa!N14</f>
        <v>3</v>
      </c>
      <c r="I14" s="53">
        <f>Pa!P14</f>
        <v>6</v>
      </c>
      <c r="J14" s="51"/>
      <c r="K14" s="53"/>
      <c r="L14" s="51"/>
      <c r="M14" s="53"/>
      <c r="N14" s="51"/>
      <c r="O14" s="53"/>
      <c r="P14" s="51"/>
      <c r="Q14" s="53"/>
      <c r="R14" s="51"/>
      <c r="S14" s="53"/>
      <c r="T14" s="51"/>
      <c r="U14" s="54"/>
    </row>
    <row r="15" spans="1:21" s="67" customFormat="1" x14ac:dyDescent="0.2">
      <c r="A15" s="17">
        <v>1976</v>
      </c>
      <c r="B15" s="51"/>
      <c r="C15" s="52"/>
      <c r="D15" s="61">
        <f>'Nj-AD+LD'!AI15</f>
        <v>29</v>
      </c>
      <c r="E15" s="52">
        <f>'Nj-AD+LD'!AK15</f>
        <v>233</v>
      </c>
      <c r="F15" s="51">
        <f>'Nj-AD+LD'!AE15</f>
        <v>175</v>
      </c>
      <c r="G15" s="52">
        <f>'Nj-AD+LD'!AF15</f>
        <v>1525</v>
      </c>
      <c r="H15" s="51">
        <f>Pa!N15</f>
        <v>2</v>
      </c>
      <c r="I15" s="53">
        <f>Pa!P15</f>
        <v>8</v>
      </c>
      <c r="J15" s="51"/>
      <c r="K15" s="53"/>
      <c r="L15" s="51"/>
      <c r="M15" s="53"/>
      <c r="N15" s="51"/>
      <c r="O15" s="53"/>
      <c r="P15" s="51"/>
      <c r="Q15" s="53"/>
      <c r="R15" s="51"/>
      <c r="S15" s="53"/>
      <c r="T15" s="51"/>
      <c r="U15" s="54"/>
    </row>
    <row r="16" spans="1:21" s="67" customFormat="1" x14ac:dyDescent="0.2">
      <c r="A16" s="17">
        <v>1977</v>
      </c>
      <c r="B16" s="51"/>
      <c r="C16" s="52"/>
      <c r="D16" s="61">
        <f>'Nj-AD+LD'!AI16</f>
        <v>27</v>
      </c>
      <c r="E16" s="52">
        <f>'Nj-AD+LD'!AK16</f>
        <v>260</v>
      </c>
      <c r="F16" s="51">
        <f>'Nj-AD+LD'!AE16</f>
        <v>214</v>
      </c>
      <c r="G16" s="52">
        <f>'Nj-AD+LD'!AF16</f>
        <v>1739</v>
      </c>
      <c r="H16" s="51">
        <f>Pa!N16</f>
        <v>0</v>
      </c>
      <c r="I16" s="53">
        <f>Pa!P16</f>
        <v>8</v>
      </c>
      <c r="J16" s="51"/>
      <c r="K16" s="53"/>
      <c r="L16" s="51"/>
      <c r="M16" s="53"/>
      <c r="N16" s="51"/>
      <c r="O16" s="53"/>
      <c r="P16" s="51"/>
      <c r="Q16" s="53"/>
      <c r="R16" s="51"/>
      <c r="S16" s="53"/>
      <c r="T16" s="51"/>
      <c r="U16" s="54"/>
    </row>
    <row r="17" spans="1:21" s="67" customFormat="1" x14ac:dyDescent="0.2">
      <c r="A17" s="17">
        <v>1978</v>
      </c>
      <c r="B17" s="51"/>
      <c r="C17" s="52"/>
      <c r="D17" s="61">
        <f>'Nj-AD+LD'!AI17</f>
        <v>46</v>
      </c>
      <c r="E17" s="52">
        <f>'Nj-AD+LD'!AK17</f>
        <v>306</v>
      </c>
      <c r="F17" s="51">
        <f>'Nj-AD+LD'!AE17</f>
        <v>230</v>
      </c>
      <c r="G17" s="52">
        <f>'Nj-AD+LD'!AF17</f>
        <v>1969</v>
      </c>
      <c r="H17" s="51">
        <f>Pa!N17</f>
        <v>2</v>
      </c>
      <c r="I17" s="53">
        <f>Pa!P17</f>
        <v>10</v>
      </c>
      <c r="J17" s="51"/>
      <c r="K17" s="53"/>
      <c r="L17" s="51"/>
      <c r="M17" s="53"/>
      <c r="N17" s="51"/>
      <c r="O17" s="53"/>
      <c r="P17" s="51"/>
      <c r="Q17" s="53"/>
      <c r="R17" s="51"/>
      <c r="S17" s="53"/>
      <c r="T17" s="51"/>
      <c r="U17" s="54"/>
    </row>
    <row r="18" spans="1:21" s="67" customFormat="1" x14ac:dyDescent="0.2">
      <c r="A18" s="17">
        <v>1979</v>
      </c>
      <c r="B18" s="51"/>
      <c r="C18" s="52"/>
      <c r="D18" s="61">
        <f>'Nj-AD+LD'!AI18</f>
        <v>53</v>
      </c>
      <c r="E18" s="52">
        <f>'Nj-AD+LD'!AK18</f>
        <v>359</v>
      </c>
      <c r="F18" s="51">
        <f>'Nj-AD+LD'!AE18</f>
        <v>230</v>
      </c>
      <c r="G18" s="52">
        <f>'Nj-AD+LD'!AF18</f>
        <v>2199</v>
      </c>
      <c r="H18" s="51">
        <f>Pa!N18</f>
        <v>0</v>
      </c>
      <c r="I18" s="53">
        <f>Pa!P18</f>
        <v>10</v>
      </c>
      <c r="J18" s="51"/>
      <c r="K18" s="53"/>
      <c r="L18" s="51"/>
      <c r="M18" s="53"/>
      <c r="N18" s="51"/>
      <c r="O18" s="53"/>
      <c r="P18" s="51"/>
      <c r="Q18" s="53"/>
      <c r="R18" s="51"/>
      <c r="S18" s="53"/>
      <c r="T18" s="51"/>
      <c r="U18" s="54"/>
    </row>
    <row r="19" spans="1:21" s="67" customFormat="1" x14ac:dyDescent="0.2">
      <c r="A19" s="17">
        <v>1980</v>
      </c>
      <c r="B19" s="51"/>
      <c r="C19" s="52"/>
      <c r="D19" s="61">
        <f>'Nj-AD+LD'!AI19</f>
        <v>65</v>
      </c>
      <c r="E19" s="52">
        <f>'Nj-AD+LD'!AK19</f>
        <v>424</v>
      </c>
      <c r="F19" s="51">
        <f>'Nj-AD+LD'!AE19</f>
        <v>241</v>
      </c>
      <c r="G19" s="52">
        <f>'Nj-AD+LD'!AF19</f>
        <v>2440</v>
      </c>
      <c r="H19" s="51">
        <f>Pa!N19</f>
        <v>1</v>
      </c>
      <c r="I19" s="53">
        <f>Pa!P19</f>
        <v>11</v>
      </c>
      <c r="J19" s="51"/>
      <c r="K19" s="53"/>
      <c r="L19" s="51"/>
      <c r="M19" s="53"/>
      <c r="N19" s="51"/>
      <c r="O19" s="53"/>
      <c r="P19" s="51"/>
      <c r="Q19" s="53"/>
      <c r="R19" s="51"/>
      <c r="S19" s="53"/>
      <c r="T19" s="51"/>
      <c r="U19" s="54"/>
    </row>
    <row r="20" spans="1:21" s="67" customFormat="1" x14ac:dyDescent="0.2">
      <c r="A20" s="17">
        <v>1981</v>
      </c>
      <c r="B20" s="51">
        <f>'Don-AD'!U20</f>
        <v>110</v>
      </c>
      <c r="C20" s="52">
        <f>'Don-AD'!V20</f>
        <v>110</v>
      </c>
      <c r="D20" s="61">
        <f>'Nj-AD+LD'!AI20</f>
        <v>63</v>
      </c>
      <c r="E20" s="52">
        <f>'Nj-AD+LD'!AK20</f>
        <v>487</v>
      </c>
      <c r="F20" s="51">
        <f>'Nj-AD+LD'!AE20</f>
        <v>245</v>
      </c>
      <c r="G20" s="52">
        <f>'Nj-AD+LD'!AF20</f>
        <v>2685</v>
      </c>
      <c r="H20" s="51">
        <f>Pa!N20</f>
        <v>6</v>
      </c>
      <c r="I20" s="53">
        <f>Pa!P20</f>
        <v>17</v>
      </c>
      <c r="J20" s="51"/>
      <c r="K20" s="53"/>
      <c r="L20" s="51"/>
      <c r="M20" s="53"/>
      <c r="N20" s="51"/>
      <c r="O20" s="53"/>
      <c r="P20" s="51"/>
      <c r="Q20" s="53"/>
      <c r="R20" s="51"/>
      <c r="S20" s="53"/>
      <c r="T20" s="51"/>
      <c r="U20" s="54"/>
    </row>
    <row r="21" spans="1:21" s="67" customFormat="1" x14ac:dyDescent="0.2">
      <c r="A21" s="17">
        <v>1982</v>
      </c>
      <c r="B21" s="51">
        <f>'Don-AD'!U21</f>
        <v>108</v>
      </c>
      <c r="C21" s="52">
        <f>'Don-AD'!V21</f>
        <v>218</v>
      </c>
      <c r="D21" s="61">
        <f>'Nj-AD+LD'!AI21</f>
        <v>52</v>
      </c>
      <c r="E21" s="52">
        <f>'Nj-AD+LD'!AK21</f>
        <v>539</v>
      </c>
      <c r="F21" s="51">
        <f>'Nj-AD+LD'!AE21</f>
        <v>233</v>
      </c>
      <c r="G21" s="52">
        <f>'Nj-AD+LD'!AF21</f>
        <v>2918</v>
      </c>
      <c r="H21" s="51">
        <f>Pa!N21</f>
        <v>5</v>
      </c>
      <c r="I21" s="53">
        <f>Pa!P21</f>
        <v>22</v>
      </c>
      <c r="J21" s="51"/>
      <c r="K21" s="53"/>
      <c r="L21" s="51"/>
      <c r="M21" s="53"/>
      <c r="N21" s="51"/>
      <c r="O21" s="53"/>
      <c r="P21" s="51"/>
      <c r="Q21" s="53"/>
      <c r="R21" s="51"/>
      <c r="S21" s="53"/>
      <c r="T21" s="51"/>
      <c r="U21" s="54"/>
    </row>
    <row r="22" spans="1:21" s="67" customFormat="1" x14ac:dyDescent="0.2">
      <c r="A22" s="17">
        <v>1983</v>
      </c>
      <c r="B22" s="51">
        <f>'Don-AD'!U22</f>
        <v>110</v>
      </c>
      <c r="C22" s="52">
        <f>'Don-AD'!V22</f>
        <v>328</v>
      </c>
      <c r="D22" s="61">
        <f>'Nj-AD+LD'!AI22</f>
        <v>76</v>
      </c>
      <c r="E22" s="53">
        <f>'Nj-AD+LD'!AK22</f>
        <v>615</v>
      </c>
      <c r="F22" s="51">
        <f>'Nj-AD+LD'!AE22</f>
        <v>277</v>
      </c>
      <c r="G22" s="52">
        <f>'Nj-AD+LD'!AF22</f>
        <v>3195</v>
      </c>
      <c r="H22" s="51">
        <f>Pa!N22</f>
        <v>10</v>
      </c>
      <c r="I22" s="53">
        <f>Pa!P22</f>
        <v>32</v>
      </c>
      <c r="J22" s="51"/>
      <c r="K22" s="53"/>
      <c r="L22" s="51"/>
      <c r="M22" s="53"/>
      <c r="N22" s="51"/>
      <c r="O22" s="53"/>
      <c r="P22" s="51"/>
      <c r="Q22" s="53"/>
      <c r="R22" s="51"/>
      <c r="S22" s="53"/>
      <c r="T22" s="51"/>
      <c r="U22" s="54"/>
    </row>
    <row r="23" spans="1:21" s="67" customFormat="1" x14ac:dyDescent="0.2">
      <c r="A23" s="17">
        <v>1984</v>
      </c>
      <c r="B23" s="51">
        <f>'Don-AD'!U23</f>
        <v>149</v>
      </c>
      <c r="C23" s="52">
        <f>'Don-AD'!V23</f>
        <v>477</v>
      </c>
      <c r="D23" s="61">
        <f>'Nj-AD+LD'!AI23</f>
        <v>69</v>
      </c>
      <c r="E23" s="53">
        <f>'Nj-AD+LD'!AK23</f>
        <v>684</v>
      </c>
      <c r="F23" s="51">
        <f>'Nj-AD+LD'!AE23</f>
        <v>341</v>
      </c>
      <c r="G23" s="52">
        <f>'Nj-AD+LD'!AF23</f>
        <v>3536</v>
      </c>
      <c r="H23" s="51">
        <f>Pa!N23</f>
        <v>15</v>
      </c>
      <c r="I23" s="53">
        <f>Pa!P23</f>
        <v>47</v>
      </c>
      <c r="J23" s="51"/>
      <c r="K23" s="53"/>
      <c r="L23" s="51">
        <f>Le!H23</f>
        <v>1</v>
      </c>
      <c r="M23" s="53">
        <f>Le!I23</f>
        <v>1</v>
      </c>
      <c r="N23" s="51">
        <f>Hj!J23</f>
        <v>1</v>
      </c>
      <c r="O23" s="53">
        <f>Hj!K23</f>
        <v>1</v>
      </c>
      <c r="P23" s="51"/>
      <c r="Q23" s="53"/>
      <c r="R23" s="51"/>
      <c r="S23" s="53"/>
      <c r="T23" s="51"/>
      <c r="U23" s="54"/>
    </row>
    <row r="24" spans="1:21" s="67" customFormat="1" x14ac:dyDescent="0.2">
      <c r="A24" s="17">
        <v>1985</v>
      </c>
      <c r="B24" s="51">
        <f>'Don-AD'!U24</f>
        <v>130</v>
      </c>
      <c r="C24" s="52">
        <f>'Don-AD'!V24</f>
        <v>607</v>
      </c>
      <c r="D24" s="61">
        <f>'Nj-AD+LD'!AI24</f>
        <v>65</v>
      </c>
      <c r="E24" s="53">
        <f>'Nj-AD+LD'!AK24</f>
        <v>749</v>
      </c>
      <c r="F24" s="51">
        <f>'Nj-AD+LD'!AE24</f>
        <v>329</v>
      </c>
      <c r="G24" s="52">
        <f>'Nj-AD+LD'!AF24</f>
        <v>3865</v>
      </c>
      <c r="H24" s="51">
        <f>Pa!N24</f>
        <v>20</v>
      </c>
      <c r="I24" s="53">
        <f>Pa!P24</f>
        <v>67</v>
      </c>
      <c r="J24" s="51"/>
      <c r="K24" s="53"/>
      <c r="L24" s="51">
        <f>Le!H24</f>
        <v>12</v>
      </c>
      <c r="M24" s="53">
        <f>Le!I24</f>
        <v>13</v>
      </c>
      <c r="N24" s="51">
        <f>Hj!J24</f>
        <v>4</v>
      </c>
      <c r="O24" s="53">
        <f>Hj!K24</f>
        <v>5</v>
      </c>
      <c r="P24" s="51"/>
      <c r="Q24" s="53"/>
      <c r="R24" s="51"/>
      <c r="S24" s="53"/>
      <c r="T24" s="51"/>
      <c r="U24" s="54"/>
    </row>
    <row r="25" spans="1:21" s="67" customFormat="1" x14ac:dyDescent="0.2">
      <c r="A25" s="17">
        <v>1986</v>
      </c>
      <c r="B25" s="51">
        <f>'Don-AD'!U25</f>
        <v>152</v>
      </c>
      <c r="C25" s="52">
        <f>'Don-AD'!V25</f>
        <v>759</v>
      </c>
      <c r="D25" s="61">
        <f>'Nj-AD+LD'!AI25</f>
        <v>62</v>
      </c>
      <c r="E25" s="53">
        <f>'Nj-AD+LD'!AK25</f>
        <v>811</v>
      </c>
      <c r="F25" s="51">
        <f>'Nj-AD+LD'!AE25</f>
        <v>349</v>
      </c>
      <c r="G25" s="52">
        <f>'Nj-AD+LD'!AF25</f>
        <v>4214</v>
      </c>
      <c r="H25" s="51">
        <f>Pa!N25</f>
        <v>36</v>
      </c>
      <c r="I25" s="53">
        <f>Pa!P25</f>
        <v>103</v>
      </c>
      <c r="J25" s="51"/>
      <c r="K25" s="53"/>
      <c r="L25" s="51">
        <f>Le!H25</f>
        <v>19</v>
      </c>
      <c r="M25" s="53">
        <f>Le!I25</f>
        <v>32</v>
      </c>
      <c r="N25" s="51">
        <f>Hj!J25</f>
        <v>8</v>
      </c>
      <c r="O25" s="53">
        <f>Hj!K25</f>
        <v>13</v>
      </c>
      <c r="P25" s="51"/>
      <c r="Q25" s="53"/>
      <c r="R25" s="51"/>
      <c r="S25" s="53"/>
      <c r="T25" s="51"/>
      <c r="U25" s="54"/>
    </row>
    <row r="26" spans="1:21" s="67" customFormat="1" x14ac:dyDescent="0.2">
      <c r="A26" s="17">
        <v>1987</v>
      </c>
      <c r="B26" s="51">
        <f>'Don-AD'!U26</f>
        <v>147</v>
      </c>
      <c r="C26" s="52">
        <f>'Don-AD'!V26</f>
        <v>906</v>
      </c>
      <c r="D26" s="61">
        <f>'Nj-AD+LD'!AI26</f>
        <v>87</v>
      </c>
      <c r="E26" s="53">
        <f>'Nj-AD+LD'!AK26</f>
        <v>898</v>
      </c>
      <c r="F26" s="51">
        <f>'Nj-AD+LD'!AE26</f>
        <v>382</v>
      </c>
      <c r="G26" s="52">
        <f>'Nj-AD+LD'!AF26</f>
        <v>4596</v>
      </c>
      <c r="H26" s="51">
        <f>Pa!N26</f>
        <v>44</v>
      </c>
      <c r="I26" s="53">
        <f>Pa!P26</f>
        <v>147</v>
      </c>
      <c r="J26" s="51"/>
      <c r="K26" s="53"/>
      <c r="L26" s="51">
        <f>Le!H26</f>
        <v>26</v>
      </c>
      <c r="M26" s="53">
        <f>Le!I26</f>
        <v>58</v>
      </c>
      <c r="N26" s="51">
        <f>Hj!J26</f>
        <v>0</v>
      </c>
      <c r="O26" s="53">
        <f>Hj!K26</f>
        <v>13</v>
      </c>
      <c r="P26" s="51"/>
      <c r="Q26" s="53"/>
      <c r="R26" s="51"/>
      <c r="S26" s="53"/>
      <c r="T26" s="51"/>
      <c r="U26" s="54"/>
    </row>
    <row r="27" spans="1:21" s="67" customFormat="1" x14ac:dyDescent="0.2">
      <c r="A27" s="17">
        <v>1988</v>
      </c>
      <c r="B27" s="51">
        <f>'Don-AD'!U27</f>
        <v>136</v>
      </c>
      <c r="C27" s="52">
        <f>'Don-AD'!V27</f>
        <v>1042</v>
      </c>
      <c r="D27" s="61">
        <f>'Nj-AD+LD'!AI27</f>
        <v>87</v>
      </c>
      <c r="E27" s="53">
        <f>'Nj-AD+LD'!AK27</f>
        <v>985</v>
      </c>
      <c r="F27" s="51">
        <f>'Nj-AD+LD'!AE27</f>
        <v>355</v>
      </c>
      <c r="G27" s="52">
        <f>'Nj-AD+LD'!AF27</f>
        <v>4951</v>
      </c>
      <c r="H27" s="51">
        <f>Pa!N27</f>
        <v>40</v>
      </c>
      <c r="I27" s="53">
        <f>Pa!P27</f>
        <v>187</v>
      </c>
      <c r="J27" s="51"/>
      <c r="K27" s="53"/>
      <c r="L27" s="51">
        <f>Le!H27</f>
        <v>42</v>
      </c>
      <c r="M27" s="53">
        <f>Le!I27</f>
        <v>100</v>
      </c>
      <c r="N27" s="51">
        <f>Hj!J27</f>
        <v>31</v>
      </c>
      <c r="O27" s="53">
        <f>Hj!K27</f>
        <v>44</v>
      </c>
      <c r="P27" s="51"/>
      <c r="Q27" s="53"/>
      <c r="R27" s="51"/>
      <c r="S27" s="53"/>
      <c r="T27" s="51"/>
      <c r="U27" s="54"/>
    </row>
    <row r="28" spans="1:21" s="67" customFormat="1" x14ac:dyDescent="0.2">
      <c r="A28" s="17">
        <v>1989</v>
      </c>
      <c r="B28" s="51">
        <f>'Don-AD'!U28</f>
        <v>152</v>
      </c>
      <c r="C28" s="52">
        <f>'Don-AD'!V28</f>
        <v>1194</v>
      </c>
      <c r="D28" s="61">
        <f>'Nj-AD+LD'!AI28</f>
        <v>81</v>
      </c>
      <c r="E28" s="53">
        <f>'Nj-AD+LD'!AK28</f>
        <v>1066</v>
      </c>
      <c r="F28" s="51">
        <f>'Nj-AD+LD'!AE28</f>
        <v>371</v>
      </c>
      <c r="G28" s="52">
        <f>'Nj-AD+LD'!AF28</f>
        <v>5322</v>
      </c>
      <c r="H28" s="51">
        <f>Pa!N28</f>
        <v>29</v>
      </c>
      <c r="I28" s="53">
        <f>Pa!P28</f>
        <v>216</v>
      </c>
      <c r="J28" s="51"/>
      <c r="K28" s="53"/>
      <c r="L28" s="51">
        <f>Le!H28</f>
        <v>39</v>
      </c>
      <c r="M28" s="53">
        <f>Le!I28</f>
        <v>139</v>
      </c>
      <c r="N28" s="51">
        <f>Hj!J28</f>
        <v>31</v>
      </c>
      <c r="O28" s="53">
        <f>Hj!K28</f>
        <v>75</v>
      </c>
      <c r="P28" s="51"/>
      <c r="Q28" s="53"/>
      <c r="R28" s="51"/>
      <c r="S28" s="53"/>
      <c r="T28" s="51"/>
      <c r="U28" s="54"/>
    </row>
    <row r="29" spans="1:21" s="67" customFormat="1" x14ac:dyDescent="0.2">
      <c r="A29" s="17">
        <v>1990</v>
      </c>
      <c r="B29" s="51">
        <f>'Don-AD'!U29</f>
        <v>128</v>
      </c>
      <c r="C29" s="52">
        <f>'Don-AD'!V29</f>
        <v>1322</v>
      </c>
      <c r="D29" s="61">
        <f>'Nj-AD+LD'!AI29</f>
        <v>78</v>
      </c>
      <c r="E29" s="53">
        <f>'Nj-AD+LD'!AK29</f>
        <v>1144</v>
      </c>
      <c r="F29" s="51">
        <f>'Nj-AD+LD'!AE29</f>
        <v>331</v>
      </c>
      <c r="G29" s="52">
        <f>'Nj-AD+LD'!AF29</f>
        <v>5653</v>
      </c>
      <c r="H29" s="51">
        <f>Pa!N29</f>
        <v>29</v>
      </c>
      <c r="I29" s="53">
        <f>Pa!P29</f>
        <v>245</v>
      </c>
      <c r="J29" s="51"/>
      <c r="K29" s="53"/>
      <c r="L29" s="51">
        <f>Le!H29</f>
        <v>48</v>
      </c>
      <c r="M29" s="53">
        <f>Le!I29</f>
        <v>187</v>
      </c>
      <c r="N29" s="51">
        <f>Hj!J29</f>
        <v>27</v>
      </c>
      <c r="O29" s="53">
        <f>Hj!K29</f>
        <v>102</v>
      </c>
      <c r="P29" s="51">
        <f>Lu!F29</f>
        <v>2</v>
      </c>
      <c r="Q29" s="53">
        <f>Lu!G29</f>
        <v>2</v>
      </c>
      <c r="R29" s="51">
        <f>'Hj-Lu'!F29</f>
        <v>1</v>
      </c>
      <c r="S29" s="53">
        <f>'Hj-Lu'!G29</f>
        <v>1</v>
      </c>
      <c r="T29" s="51">
        <f>Tarm!H29</f>
        <v>3</v>
      </c>
      <c r="U29" s="54">
        <f>Tarm!I29</f>
        <v>3</v>
      </c>
    </row>
    <row r="30" spans="1:21" s="67" customFormat="1" x14ac:dyDescent="0.2">
      <c r="A30" s="17">
        <v>1991</v>
      </c>
      <c r="B30" s="51">
        <f>'Don-AD'!U30</f>
        <v>137</v>
      </c>
      <c r="C30" s="52">
        <f>'Don-AD'!V30</f>
        <v>1459</v>
      </c>
      <c r="D30" s="61">
        <f>'Nj-AD+LD'!AI30</f>
        <v>81</v>
      </c>
      <c r="E30" s="53">
        <f>'Nj-AD+LD'!AK30</f>
        <v>1225</v>
      </c>
      <c r="F30" s="51">
        <f>'Nj-AD+LD'!AE30</f>
        <v>358</v>
      </c>
      <c r="G30" s="52">
        <f>'Nj-AD+LD'!AF30</f>
        <v>6011</v>
      </c>
      <c r="H30" s="51">
        <f>Pa!N30</f>
        <v>27</v>
      </c>
      <c r="I30" s="53">
        <f>Pa!P30</f>
        <v>272</v>
      </c>
      <c r="J30" s="51"/>
      <c r="K30" s="53"/>
      <c r="L30" s="51">
        <f>Le!H30</f>
        <v>62</v>
      </c>
      <c r="M30" s="53">
        <f>Le!I30</f>
        <v>249</v>
      </c>
      <c r="N30" s="51">
        <f>Hj!J30</f>
        <v>30</v>
      </c>
      <c r="O30" s="53">
        <f>Hj!K30</f>
        <v>132</v>
      </c>
      <c r="P30" s="51">
        <f>Lu!F30</f>
        <v>8</v>
      </c>
      <c r="Q30" s="53">
        <f>Lu!G30</f>
        <v>10</v>
      </c>
      <c r="R30" s="51">
        <f>'Hj-Lu'!F30</f>
        <v>1</v>
      </c>
      <c r="S30" s="53">
        <f>'Hj-Lu'!G30</f>
        <v>2</v>
      </c>
      <c r="T30" s="51"/>
      <c r="U30" s="54">
        <f>Tarm!I30</f>
        <v>3</v>
      </c>
    </row>
    <row r="31" spans="1:21" s="67" customFormat="1" x14ac:dyDescent="0.2">
      <c r="A31" s="17">
        <v>1992</v>
      </c>
      <c r="B31" s="51">
        <f>'Don-AD'!U31</f>
        <v>125</v>
      </c>
      <c r="C31" s="52">
        <f>'Don-AD'!V31</f>
        <v>1584</v>
      </c>
      <c r="D31" s="61">
        <f>'Nj-AD+LD'!AI31</f>
        <v>88</v>
      </c>
      <c r="E31" s="53">
        <f>'Nj-AD+LD'!AK31</f>
        <v>1313</v>
      </c>
      <c r="F31" s="51">
        <f>'Nj-AD+LD'!AE31</f>
        <v>317</v>
      </c>
      <c r="G31" s="52">
        <f>'Nj-AD+LD'!AF31</f>
        <v>6328</v>
      </c>
      <c r="H31" s="51">
        <f>Pa!N31</f>
        <v>19</v>
      </c>
      <c r="I31" s="53">
        <f>Pa!P31</f>
        <v>291</v>
      </c>
      <c r="J31" s="51"/>
      <c r="K31" s="53"/>
      <c r="L31" s="51">
        <f>Le!H31</f>
        <v>69</v>
      </c>
      <c r="M31" s="53">
        <f>Le!I31</f>
        <v>318</v>
      </c>
      <c r="N31" s="51">
        <f>Hj!J31</f>
        <v>28</v>
      </c>
      <c r="O31" s="53">
        <f>Hj!K31</f>
        <v>160</v>
      </c>
      <c r="P31" s="51">
        <f>Lu!F31</f>
        <v>22</v>
      </c>
      <c r="Q31" s="53">
        <f>Lu!G31</f>
        <v>32</v>
      </c>
      <c r="R31" s="51">
        <f>'Hj-Lu'!F31</f>
        <v>6</v>
      </c>
      <c r="S31" s="53">
        <f>'Hj-Lu'!G31</f>
        <v>8</v>
      </c>
      <c r="T31" s="51"/>
      <c r="U31" s="54">
        <f>Tarm!I31</f>
        <v>3</v>
      </c>
    </row>
    <row r="32" spans="1:21" s="67" customFormat="1" x14ac:dyDescent="0.2">
      <c r="A32" s="17">
        <v>1993</v>
      </c>
      <c r="B32" s="51">
        <f>'Don-AD'!U32</f>
        <v>124</v>
      </c>
      <c r="C32" s="52">
        <f>'Don-AD'!V32</f>
        <v>1708</v>
      </c>
      <c r="D32" s="61">
        <f>'Nj-AD+LD'!AI32</f>
        <v>103</v>
      </c>
      <c r="E32" s="53">
        <f>'Nj-AD+LD'!AK32</f>
        <v>1416</v>
      </c>
      <c r="F32" s="51">
        <f>'Nj-AD+LD'!AE32</f>
        <v>353</v>
      </c>
      <c r="G32" s="52">
        <f>'Nj-AD+LD'!AF32</f>
        <v>6681</v>
      </c>
      <c r="H32" s="51">
        <f>Pa!N32</f>
        <v>19</v>
      </c>
      <c r="I32" s="53">
        <f>Pa!P32</f>
        <v>310</v>
      </c>
      <c r="J32" s="51"/>
      <c r="K32" s="53"/>
      <c r="L32" s="51">
        <f>Le!H32</f>
        <v>82</v>
      </c>
      <c r="M32" s="53">
        <f>Le!I32</f>
        <v>400</v>
      </c>
      <c r="N32" s="51">
        <f>Hj!J32</f>
        <v>34</v>
      </c>
      <c r="O32" s="53">
        <f>Hj!K32</f>
        <v>194</v>
      </c>
      <c r="P32" s="51">
        <f>Lu!F32</f>
        <v>19</v>
      </c>
      <c r="Q32" s="53">
        <f>Lu!G32</f>
        <v>51</v>
      </c>
      <c r="R32" s="51">
        <f>'Hj-Lu'!F32</f>
        <v>10</v>
      </c>
      <c r="S32" s="53">
        <f>'Hj-Lu'!G32</f>
        <v>18</v>
      </c>
      <c r="T32" s="51"/>
      <c r="U32" s="54">
        <f>Tarm!I32</f>
        <v>3</v>
      </c>
    </row>
    <row r="33" spans="1:21" s="67" customFormat="1" x14ac:dyDescent="0.2">
      <c r="A33" s="17">
        <v>1994</v>
      </c>
      <c r="B33" s="51">
        <f>'Don-AD'!U33</f>
        <v>108</v>
      </c>
      <c r="C33" s="52">
        <f>'Don-AD'!V33</f>
        <v>1816</v>
      </c>
      <c r="D33" s="61">
        <f>'Nj-AD+LD'!AI33</f>
        <v>90</v>
      </c>
      <c r="E33" s="53">
        <f>'Nj-AD+LD'!AK33</f>
        <v>1506</v>
      </c>
      <c r="F33" s="51">
        <f>'Nj-AD+LD'!AE33</f>
        <v>322</v>
      </c>
      <c r="G33" s="52">
        <f>'Nj-AD+LD'!AF33</f>
        <v>7003</v>
      </c>
      <c r="H33" s="51">
        <f>Pa!N33</f>
        <v>10</v>
      </c>
      <c r="I33" s="134">
        <f>Pa!P33</f>
        <v>320</v>
      </c>
      <c r="J33" s="51"/>
      <c r="K33" s="53"/>
      <c r="L33" s="51">
        <f>Le!H33</f>
        <v>77</v>
      </c>
      <c r="M33" s="53">
        <f>Le!I33</f>
        <v>477</v>
      </c>
      <c r="N33" s="51">
        <f>Hj!J33</f>
        <v>39</v>
      </c>
      <c r="O33" s="53">
        <f>Hj!K33</f>
        <v>233</v>
      </c>
      <c r="P33" s="51">
        <f>Lu!F33</f>
        <v>27</v>
      </c>
      <c r="Q33" s="53">
        <f>Lu!G33</f>
        <v>78</v>
      </c>
      <c r="R33" s="51">
        <f>'Hj-Lu'!F33</f>
        <v>5</v>
      </c>
      <c r="S33" s="53">
        <f>'Hj-Lu'!G33</f>
        <v>23</v>
      </c>
      <c r="T33" s="51"/>
      <c r="U33" s="54">
        <f>Tarm!I33</f>
        <v>3</v>
      </c>
    </row>
    <row r="34" spans="1:21" s="67" customFormat="1" x14ac:dyDescent="0.2">
      <c r="A34" s="17">
        <v>1995</v>
      </c>
      <c r="B34" s="51">
        <f>'Don-AD'!U34</f>
        <v>104</v>
      </c>
      <c r="C34" s="52">
        <f>'Don-AD'!V34</f>
        <v>1920</v>
      </c>
      <c r="D34" s="61">
        <f>'Nj-AD+LD'!AI34</f>
        <v>80</v>
      </c>
      <c r="E34" s="53">
        <f>'Nj-AD+LD'!AK34</f>
        <v>1586</v>
      </c>
      <c r="F34" s="51">
        <f>'Nj-AD+LD'!AE34</f>
        <v>283</v>
      </c>
      <c r="G34" s="52">
        <f>'Nj-AD+LD'!AF34</f>
        <v>7286</v>
      </c>
      <c r="H34" s="51">
        <f>Pa!N34</f>
        <v>15</v>
      </c>
      <c r="I34" s="53">
        <f>Pa!P34</f>
        <v>335</v>
      </c>
      <c r="J34" s="51"/>
      <c r="K34" s="53"/>
      <c r="L34" s="51">
        <f>Le!H34</f>
        <v>87</v>
      </c>
      <c r="M34" s="53">
        <f>Le!I34</f>
        <v>564</v>
      </c>
      <c r="N34" s="51">
        <f>Hj!J34</f>
        <v>26</v>
      </c>
      <c r="O34" s="53">
        <f>Hj!K34</f>
        <v>259</v>
      </c>
      <c r="P34" s="51">
        <f>Lu!F34</f>
        <v>19</v>
      </c>
      <c r="Q34" s="53">
        <f>Lu!G34</f>
        <v>97</v>
      </c>
      <c r="R34" s="51">
        <f>'Hj-Lu'!F34</f>
        <v>3</v>
      </c>
      <c r="S34" s="53">
        <f>'Hj-Lu'!G34</f>
        <v>26</v>
      </c>
      <c r="T34" s="51"/>
      <c r="U34" s="54">
        <f>Tarm!I34</f>
        <v>3</v>
      </c>
    </row>
    <row r="35" spans="1:21" s="67" customFormat="1" x14ac:dyDescent="0.2">
      <c r="A35" s="17">
        <v>1996</v>
      </c>
      <c r="B35" s="51">
        <f>'Don-AD'!U35</f>
        <v>99</v>
      </c>
      <c r="C35" s="52">
        <f>'Don-AD'!V35</f>
        <v>2019</v>
      </c>
      <c r="D35" s="129">
        <f>'Nj-AD+LD'!AI35</f>
        <v>99</v>
      </c>
      <c r="E35" s="52">
        <f>'Nj-AD+LD'!AK35</f>
        <v>1685</v>
      </c>
      <c r="F35" s="51">
        <f>'Nj-AD+LD'!AE35</f>
        <v>308</v>
      </c>
      <c r="G35" s="52">
        <f>'Nj-AD+LD'!AF35</f>
        <v>7594</v>
      </c>
      <c r="H35" s="51">
        <f>Pa!N35</f>
        <v>7</v>
      </c>
      <c r="I35" s="53">
        <f>Pa!P35</f>
        <v>342</v>
      </c>
      <c r="J35" s="51">
        <f>'P-öar'!J35</f>
        <v>3</v>
      </c>
      <c r="K35" s="53">
        <f>'P-öar'!K35</f>
        <v>3</v>
      </c>
      <c r="L35" s="51">
        <f>Le!H35</f>
        <v>75</v>
      </c>
      <c r="M35" s="53">
        <f>Le!I35</f>
        <v>639</v>
      </c>
      <c r="N35" s="51">
        <f>Hj!J35</f>
        <v>24</v>
      </c>
      <c r="O35" s="53">
        <f>Hj!K35</f>
        <v>283</v>
      </c>
      <c r="P35" s="51">
        <f>Lu!F35</f>
        <v>23</v>
      </c>
      <c r="Q35" s="53">
        <f>Lu!G35</f>
        <v>120</v>
      </c>
      <c r="R35" s="51">
        <f>'Hj-Lu'!F35</f>
        <v>2</v>
      </c>
      <c r="S35" s="53">
        <f>'Hj-Lu'!G35</f>
        <v>28</v>
      </c>
      <c r="T35" s="51"/>
      <c r="U35" s="54">
        <f>Tarm!I35</f>
        <v>3</v>
      </c>
    </row>
    <row r="36" spans="1:21" s="67" customFormat="1" x14ac:dyDescent="0.2">
      <c r="A36" s="17">
        <v>1997</v>
      </c>
      <c r="B36" s="51">
        <f>'Don-AD'!U36</f>
        <v>112</v>
      </c>
      <c r="C36" s="52">
        <f>'Don-AD'!V36</f>
        <v>2131</v>
      </c>
      <c r="D36" s="61">
        <f>'Nj-AD+LD'!AI36</f>
        <v>123</v>
      </c>
      <c r="E36" s="52">
        <f>'Nj-AD+LD'!AK36</f>
        <v>1808</v>
      </c>
      <c r="F36" s="51">
        <f>'Nj-AD+LD'!AE36</f>
        <v>336</v>
      </c>
      <c r="G36" s="52">
        <f>'Nj-AD+LD'!AF36</f>
        <v>7930</v>
      </c>
      <c r="H36" s="51">
        <f>Pa!N36</f>
        <v>9</v>
      </c>
      <c r="I36" s="53">
        <f>Pa!P36</f>
        <v>351</v>
      </c>
      <c r="J36" s="51">
        <f>'P-öar'!J36</f>
        <v>1</v>
      </c>
      <c r="K36" s="53">
        <f>'P-öar'!K36</f>
        <v>4</v>
      </c>
      <c r="L36" s="51">
        <f>Le!H36</f>
        <v>92</v>
      </c>
      <c r="M36" s="53">
        <f>Le!I36</f>
        <v>731</v>
      </c>
      <c r="N36" s="51">
        <f>Hj!J36</f>
        <v>32</v>
      </c>
      <c r="O36" s="53">
        <f>Hj!K36</f>
        <v>315</v>
      </c>
      <c r="P36" s="51">
        <f>Lu!F36</f>
        <v>17</v>
      </c>
      <c r="Q36" s="53">
        <f>Lu!G36</f>
        <v>137</v>
      </c>
      <c r="R36" s="51">
        <f>'Hj-Lu'!F36</f>
        <v>4</v>
      </c>
      <c r="S36" s="53">
        <f>'Hj-Lu'!G36</f>
        <v>32</v>
      </c>
      <c r="T36" s="51">
        <f>Tarm!H36</f>
        <v>1</v>
      </c>
      <c r="U36" s="54">
        <f>Tarm!I36</f>
        <v>4</v>
      </c>
    </row>
    <row r="37" spans="1:21" s="67" customFormat="1" x14ac:dyDescent="0.2">
      <c r="A37" s="17">
        <v>1998</v>
      </c>
      <c r="B37" s="51">
        <f>'Don-AD'!U37</f>
        <v>129</v>
      </c>
      <c r="C37" s="52">
        <f>'Don-AD'!V37</f>
        <v>2260</v>
      </c>
      <c r="D37" s="61">
        <f>'Nj-AD+LD'!AI37</f>
        <v>120</v>
      </c>
      <c r="E37" s="52">
        <f>'Nj-AD+LD'!AK37</f>
        <v>1928</v>
      </c>
      <c r="F37" s="51">
        <f>'Nj-AD+LD'!AE37</f>
        <v>357</v>
      </c>
      <c r="G37" s="52">
        <f>'Nj-AD+LD'!AF37</f>
        <v>8287</v>
      </c>
      <c r="H37" s="51">
        <f>Pa!N37</f>
        <v>10</v>
      </c>
      <c r="I37" s="53">
        <f>Pa!P37</f>
        <v>361</v>
      </c>
      <c r="J37" s="51">
        <f>'P-öar'!J37</f>
        <v>1</v>
      </c>
      <c r="K37" s="53">
        <f>'P-öar'!K37</f>
        <v>5</v>
      </c>
      <c r="L37" s="51">
        <f>Le!H37</f>
        <v>105</v>
      </c>
      <c r="M37" s="53">
        <f>Le!I37</f>
        <v>836</v>
      </c>
      <c r="N37" s="51">
        <f>Hj!J37</f>
        <v>36</v>
      </c>
      <c r="O37" s="53">
        <f>Hj!K37</f>
        <v>351</v>
      </c>
      <c r="P37" s="51">
        <f>Lu!F37</f>
        <v>33</v>
      </c>
      <c r="Q37" s="53">
        <f>Lu!G37</f>
        <v>170</v>
      </c>
      <c r="R37" s="51"/>
      <c r="S37" s="53">
        <f>'Hj-Lu'!G37</f>
        <v>32</v>
      </c>
      <c r="T37" s="51">
        <f>Tarm!H37</f>
        <v>1</v>
      </c>
      <c r="U37" s="54">
        <f>Tarm!I37</f>
        <v>5</v>
      </c>
    </row>
    <row r="38" spans="1:21" s="70" customFormat="1" x14ac:dyDescent="0.2">
      <c r="A38" s="18">
        <v>1999</v>
      </c>
      <c r="B38" s="55">
        <f>'Don-AD'!U38</f>
        <v>108</v>
      </c>
      <c r="C38" s="56">
        <f>'Don-AD'!V38</f>
        <v>2368</v>
      </c>
      <c r="D38" s="81">
        <f>'Nj-AD+LD'!AI38</f>
        <v>105</v>
      </c>
      <c r="E38" s="56">
        <f>'Nj-AD+LD'!AK38</f>
        <v>2033</v>
      </c>
      <c r="F38" s="55">
        <f>'Nj-AD+LD'!AE38</f>
        <v>301</v>
      </c>
      <c r="G38" s="56">
        <f>'Nj-AD+LD'!AF38</f>
        <v>8588</v>
      </c>
      <c r="H38" s="55">
        <f>Pa!N38</f>
        <v>7</v>
      </c>
      <c r="I38" s="57">
        <f>Pa!P38</f>
        <v>368</v>
      </c>
      <c r="J38" s="55">
        <f>'P-öar'!J38</f>
        <v>2</v>
      </c>
      <c r="K38" s="57">
        <f>'P-öar'!K38</f>
        <v>7</v>
      </c>
      <c r="L38" s="55">
        <f>Le!H38</f>
        <v>93</v>
      </c>
      <c r="M38" s="57">
        <f>Le!I38</f>
        <v>929</v>
      </c>
      <c r="N38" s="55">
        <f>Hj!J38</f>
        <v>34</v>
      </c>
      <c r="O38" s="57">
        <f>Hj!K38</f>
        <v>385</v>
      </c>
      <c r="P38" s="55">
        <f>Lu!F38</f>
        <v>26</v>
      </c>
      <c r="Q38" s="57">
        <f>Lu!G38</f>
        <v>196</v>
      </c>
      <c r="R38" s="55">
        <f>'Hj-Lu'!F38</f>
        <v>3</v>
      </c>
      <c r="S38" s="57">
        <f>'Hj-Lu'!G38</f>
        <v>35</v>
      </c>
      <c r="T38" s="55"/>
      <c r="U38" s="58">
        <f>Tarm!I38</f>
        <v>5</v>
      </c>
    </row>
    <row r="39" spans="1:21" s="70" customFormat="1" x14ac:dyDescent="0.2">
      <c r="A39" s="17">
        <v>2000</v>
      </c>
      <c r="B39" s="51">
        <f>'Don-AD'!U39</f>
        <v>97</v>
      </c>
      <c r="C39" s="52">
        <f>'Don-AD'!V39</f>
        <v>2465</v>
      </c>
      <c r="D39" s="61">
        <f>'Nj-AD+LD'!AI39</f>
        <v>90</v>
      </c>
      <c r="E39" s="52">
        <f>'Nj-AD+LD'!AK39</f>
        <v>2123</v>
      </c>
      <c r="F39" s="51">
        <f>'Nj-AD+LD'!AE39</f>
        <v>283</v>
      </c>
      <c r="G39" s="52">
        <f>'Nj-AD+LD'!AF39</f>
        <v>8871</v>
      </c>
      <c r="H39" s="51">
        <f>Pa!N39</f>
        <v>9</v>
      </c>
      <c r="I39" s="53">
        <f>Pa!P39</f>
        <v>377</v>
      </c>
      <c r="J39" s="51">
        <f>'P-öar'!J39</f>
        <v>0</v>
      </c>
      <c r="K39" s="53">
        <f>'P-öar'!K39</f>
        <v>7</v>
      </c>
      <c r="L39" s="51">
        <f>Le!H39</f>
        <v>106</v>
      </c>
      <c r="M39" s="53">
        <f>Le!I39</f>
        <v>1035</v>
      </c>
      <c r="N39" s="51">
        <f>Hj!J39</f>
        <v>20</v>
      </c>
      <c r="O39" s="53">
        <f>Hj!K39</f>
        <v>405</v>
      </c>
      <c r="P39" s="51">
        <f>Lu!F39</f>
        <v>29</v>
      </c>
      <c r="Q39" s="53">
        <f>Lu!G39</f>
        <v>225</v>
      </c>
      <c r="R39" s="51">
        <f>'Hj-Lu'!F39</f>
        <v>2</v>
      </c>
      <c r="S39" s="53">
        <f>'Hj-Lu'!G39</f>
        <v>37</v>
      </c>
      <c r="T39" s="51">
        <f>Tarm!H39</f>
        <v>2</v>
      </c>
      <c r="U39" s="54">
        <f>Tarm!I39</f>
        <v>7</v>
      </c>
    </row>
    <row r="40" spans="1:21" s="67" customFormat="1" x14ac:dyDescent="0.2">
      <c r="A40" s="17">
        <v>2001</v>
      </c>
      <c r="B40" s="51">
        <f>'Don-AD'!U40</f>
        <v>108</v>
      </c>
      <c r="C40" s="52">
        <f>'Don-AD'!V40</f>
        <v>2573</v>
      </c>
      <c r="D40" s="61">
        <f>'Nj-AD+LD'!AI40</f>
        <v>118</v>
      </c>
      <c r="E40" s="52">
        <f>'Nj-AD+LD'!AK40</f>
        <v>2241</v>
      </c>
      <c r="F40" s="51">
        <f>'Nj-AD+LD'!AE40</f>
        <v>305</v>
      </c>
      <c r="G40" s="52">
        <f>'Nj-AD+LD'!AF40</f>
        <v>9176</v>
      </c>
      <c r="H40" s="51">
        <f>Pa!N40</f>
        <v>10</v>
      </c>
      <c r="I40" s="53">
        <f>Pa!P40</f>
        <v>387</v>
      </c>
      <c r="J40" s="51">
        <f>'P-öar'!J40</f>
        <v>2</v>
      </c>
      <c r="K40" s="53">
        <f>'P-öar'!K40</f>
        <v>9</v>
      </c>
      <c r="L40" s="51">
        <f>Le!H40</f>
        <v>102</v>
      </c>
      <c r="M40" s="53">
        <f>Le!I40</f>
        <v>1137</v>
      </c>
      <c r="N40" s="51">
        <f>Hj!J40</f>
        <v>25</v>
      </c>
      <c r="O40" s="53">
        <f>Hj!K40</f>
        <v>430</v>
      </c>
      <c r="P40" s="51">
        <f>Lu!F40</f>
        <v>20</v>
      </c>
      <c r="Q40" s="53">
        <f>Lu!G40</f>
        <v>245</v>
      </c>
      <c r="R40" s="51">
        <f>'Hj-Lu'!F40</f>
        <v>1</v>
      </c>
      <c r="S40" s="53">
        <f>'Hj-Lu'!G40</f>
        <v>38</v>
      </c>
      <c r="T40" s="51">
        <f>Tarm!H40</f>
        <v>1</v>
      </c>
      <c r="U40" s="54">
        <f>Tarm!I40</f>
        <v>8</v>
      </c>
    </row>
    <row r="41" spans="1:21" s="67" customFormat="1" x14ac:dyDescent="0.2">
      <c r="A41" s="17">
        <v>2002</v>
      </c>
      <c r="B41" s="51">
        <f>'Don-AD'!U41</f>
        <v>98</v>
      </c>
      <c r="C41" s="52">
        <f>'Don-AD'!V41</f>
        <v>2671</v>
      </c>
      <c r="D41" s="61">
        <f>'Nj-AD+LD'!AI41</f>
        <v>114</v>
      </c>
      <c r="E41" s="52">
        <f>'Nj-AD+LD'!AK41</f>
        <v>2355</v>
      </c>
      <c r="F41" s="51">
        <f>'Nj-AD+LD'!AE41</f>
        <v>308</v>
      </c>
      <c r="G41" s="52">
        <f>'Nj-AD+LD'!AF41</f>
        <v>9484</v>
      </c>
      <c r="H41" s="51">
        <f>Pa!N41</f>
        <v>9</v>
      </c>
      <c r="I41" s="53">
        <f>Pa!P41</f>
        <v>396</v>
      </c>
      <c r="J41" s="51">
        <f>'P-öar'!J41</f>
        <v>5</v>
      </c>
      <c r="K41" s="53">
        <f>'P-öar'!K41</f>
        <v>14</v>
      </c>
      <c r="L41" s="51">
        <f>Le!H41</f>
        <v>102</v>
      </c>
      <c r="M41" s="53">
        <f>Le!I41</f>
        <v>1239</v>
      </c>
      <c r="N41" s="51">
        <f>Hj!J41</f>
        <v>19</v>
      </c>
      <c r="O41" s="53">
        <f>Hj!K41</f>
        <v>449</v>
      </c>
      <c r="P41" s="51">
        <f>Lu!F41</f>
        <v>50</v>
      </c>
      <c r="Q41" s="53">
        <f>Lu!G41</f>
        <v>295</v>
      </c>
      <c r="R41" s="51">
        <f>'Hj-Lu'!F41</f>
        <v>1</v>
      </c>
      <c r="S41" s="53">
        <f>'Hj-Lu'!G41</f>
        <v>39</v>
      </c>
      <c r="T41" s="51">
        <f>Tarm!H41</f>
        <v>3</v>
      </c>
      <c r="U41" s="54">
        <f>Tarm!I41</f>
        <v>11</v>
      </c>
    </row>
    <row r="42" spans="1:21" s="67" customFormat="1" x14ac:dyDescent="0.2">
      <c r="A42" s="17">
        <v>2003</v>
      </c>
      <c r="B42" s="51">
        <f>'Don-AD'!U42</f>
        <v>114</v>
      </c>
      <c r="C42" s="52">
        <f>'Don-AD'!V42</f>
        <v>2785</v>
      </c>
      <c r="D42" s="61">
        <f>'Nj-AD+LD'!AI42</f>
        <v>130</v>
      </c>
      <c r="E42" s="52">
        <f>'Nj-AD+LD'!AK42</f>
        <v>2485</v>
      </c>
      <c r="F42" s="51">
        <f>'Nj-AD+LD'!AE42</f>
        <v>345</v>
      </c>
      <c r="G42" s="52">
        <f>'Nj-AD+LD'!AF42</f>
        <v>9829</v>
      </c>
      <c r="H42" s="51">
        <f>Pa!N42</f>
        <v>10</v>
      </c>
      <c r="I42" s="53">
        <f>Pa!P42</f>
        <v>406</v>
      </c>
      <c r="J42" s="51">
        <f>'P-öar'!J42</f>
        <v>7</v>
      </c>
      <c r="K42" s="53">
        <f>'P-öar'!K42</f>
        <v>21</v>
      </c>
      <c r="L42" s="51">
        <f>Le!H42</f>
        <v>127</v>
      </c>
      <c r="M42" s="53">
        <f>Le!I42</f>
        <v>1366</v>
      </c>
      <c r="N42" s="51">
        <f>Hj!J42</f>
        <v>36</v>
      </c>
      <c r="O42" s="53">
        <f>Hj!K42</f>
        <v>485</v>
      </c>
      <c r="P42" s="51">
        <f>Lu!F42</f>
        <v>25</v>
      </c>
      <c r="Q42" s="53">
        <f>Lu!G42</f>
        <v>320</v>
      </c>
      <c r="R42" s="51">
        <f>'Hj-Lu'!F42</f>
        <v>2</v>
      </c>
      <c r="S42" s="53">
        <f>'Hj-Lu'!G42</f>
        <v>41</v>
      </c>
      <c r="T42" s="51">
        <f>Tarm!H42</f>
        <v>1</v>
      </c>
      <c r="U42" s="54">
        <f>Tarm!I42</f>
        <v>12</v>
      </c>
    </row>
    <row r="43" spans="1:21" s="67" customFormat="1" x14ac:dyDescent="0.2">
      <c r="A43" s="17">
        <v>2004</v>
      </c>
      <c r="B43" s="51">
        <f>'Don-AD'!U43</f>
        <v>123</v>
      </c>
      <c r="C43" s="52">
        <f>'Don-AD'!V43</f>
        <v>2908</v>
      </c>
      <c r="D43" s="61">
        <f>'Nj-AD+LD'!AI43</f>
        <v>142</v>
      </c>
      <c r="E43" s="52">
        <f>'Nj-AD+LD'!AK43</f>
        <v>2627</v>
      </c>
      <c r="F43" s="51">
        <f>'Nj-AD+LD'!AE43</f>
        <v>372</v>
      </c>
      <c r="G43" s="127">
        <f>'Nj-AD+LD'!AF43</f>
        <v>10201</v>
      </c>
      <c r="H43" s="51">
        <f>Pa!N43</f>
        <v>8</v>
      </c>
      <c r="I43" s="53">
        <f>Pa!P43</f>
        <v>414</v>
      </c>
      <c r="J43" s="51">
        <f>'P-öar'!J43</f>
        <v>9</v>
      </c>
      <c r="K43" s="53">
        <f>'P-öar'!K43</f>
        <v>30</v>
      </c>
      <c r="L43" s="51">
        <f>Le!H43</f>
        <v>133</v>
      </c>
      <c r="M43" s="53">
        <f>Le!I43</f>
        <v>1499</v>
      </c>
      <c r="N43" s="51">
        <f>Hj!J43</f>
        <v>31</v>
      </c>
      <c r="O43" s="53">
        <f>Hj!K43</f>
        <v>516</v>
      </c>
      <c r="P43" s="51">
        <f>Lu!F43</f>
        <v>26</v>
      </c>
      <c r="Q43" s="53">
        <f>Lu!G43</f>
        <v>346</v>
      </c>
      <c r="R43" s="51">
        <f>'Hj-Lu'!F43</f>
        <v>0</v>
      </c>
      <c r="S43" s="53">
        <f>'Hj-Lu'!G43</f>
        <v>41</v>
      </c>
      <c r="T43" s="51">
        <f>Tarm!H43</f>
        <v>2</v>
      </c>
      <c r="U43" s="54">
        <f>Tarm!I43</f>
        <v>14</v>
      </c>
    </row>
    <row r="44" spans="1:21" s="67" customFormat="1" x14ac:dyDescent="0.2">
      <c r="A44" s="17">
        <v>2005</v>
      </c>
      <c r="B44" s="51">
        <f>'Don-AD'!U44</f>
        <v>128</v>
      </c>
      <c r="C44" s="52">
        <f>'Don-AD'!V44</f>
        <v>3036</v>
      </c>
      <c r="D44" s="61">
        <f>'Nj-AD+LD'!AI44</f>
        <v>172</v>
      </c>
      <c r="E44" s="52">
        <f>'Nj-AD+LD'!AK44</f>
        <v>2799</v>
      </c>
      <c r="F44" s="51">
        <f>'Nj-AD+LD'!AE44</f>
        <v>391</v>
      </c>
      <c r="G44" s="127">
        <f>'Nj-AD+LD'!AF44</f>
        <v>10592</v>
      </c>
      <c r="H44" s="51">
        <f>Pa!N44</f>
        <v>7</v>
      </c>
      <c r="I44" s="53">
        <f>Pa!P44</f>
        <v>421</v>
      </c>
      <c r="J44" s="51">
        <f>'P-öar'!J44</f>
        <v>2</v>
      </c>
      <c r="K44" s="53">
        <f>'P-öar'!K44</f>
        <v>32</v>
      </c>
      <c r="L44" s="51">
        <f>Le!H44</f>
        <v>135</v>
      </c>
      <c r="M44" s="53">
        <f>Le!I44</f>
        <v>1634</v>
      </c>
      <c r="N44" s="51">
        <f>Hj!J44</f>
        <v>30</v>
      </c>
      <c r="O44" s="53">
        <f>Hj!K44</f>
        <v>546</v>
      </c>
      <c r="P44" s="51">
        <f>Lu!F44</f>
        <v>37</v>
      </c>
      <c r="Q44" s="53">
        <f>Lu!G44</f>
        <v>383</v>
      </c>
      <c r="R44" s="51">
        <f>'Hj-Lu'!F44</f>
        <v>0</v>
      </c>
      <c r="S44" s="53">
        <f>'Hj-Lu'!G44</f>
        <v>41</v>
      </c>
      <c r="T44" s="51">
        <f>Tarm!H44</f>
        <v>1</v>
      </c>
      <c r="U44" s="54">
        <f>Tarm!I44</f>
        <v>15</v>
      </c>
    </row>
    <row r="45" spans="1:21" s="67" customFormat="1" x14ac:dyDescent="0.2">
      <c r="A45" s="17">
        <v>2006</v>
      </c>
      <c r="B45" s="51">
        <f>'Don-AD'!U45</f>
        <v>137</v>
      </c>
      <c r="C45" s="52">
        <f>'Don-AD'!V45</f>
        <v>3173</v>
      </c>
      <c r="D45" s="61">
        <f>'Nj-AD+LD'!AI45</f>
        <v>131</v>
      </c>
      <c r="E45" s="52">
        <f>'Nj-AD+LD'!AK45</f>
        <v>2930</v>
      </c>
      <c r="F45" s="51">
        <f>'Nj-AD+LD'!AE45</f>
        <v>365</v>
      </c>
      <c r="G45" s="127">
        <f>'Nj-AD+LD'!AF45</f>
        <v>10957</v>
      </c>
      <c r="H45" s="51">
        <f>Pa!N45</f>
        <v>6</v>
      </c>
      <c r="I45" s="53">
        <f>Pa!P45</f>
        <v>427</v>
      </c>
      <c r="J45" s="51">
        <f>'P-öar'!J45</f>
        <v>6</v>
      </c>
      <c r="K45" s="53">
        <f>'P-öar'!K45</f>
        <v>38</v>
      </c>
      <c r="L45" s="51">
        <f>Le!H45</f>
        <v>127</v>
      </c>
      <c r="M45" s="53">
        <f>Le!I45</f>
        <v>1761</v>
      </c>
      <c r="N45" s="51">
        <f>Hj!J45</f>
        <v>40</v>
      </c>
      <c r="O45" s="53">
        <f>Hj!K45</f>
        <v>586</v>
      </c>
      <c r="P45" s="51">
        <f>Lu!F45</f>
        <v>50</v>
      </c>
      <c r="Q45" s="53">
        <f>Lu!G45</f>
        <v>433</v>
      </c>
      <c r="R45" s="51">
        <f>'Hj-Lu'!F45</f>
        <v>0</v>
      </c>
      <c r="S45" s="53">
        <f>'Hj-Lu'!G45</f>
        <v>41</v>
      </c>
      <c r="T45" s="51">
        <f>Tarm!H45</f>
        <v>0</v>
      </c>
      <c r="U45" s="54">
        <f>Tarm!I45</f>
        <v>15</v>
      </c>
    </row>
    <row r="46" spans="1:21" s="67" customFormat="1" x14ac:dyDescent="0.2">
      <c r="A46" s="17">
        <v>2007</v>
      </c>
      <c r="B46" s="51">
        <f>'Don-AD'!U46</f>
        <v>133</v>
      </c>
      <c r="C46" s="52">
        <f>'Don-AD'!V46</f>
        <v>3306</v>
      </c>
      <c r="D46" s="61">
        <f>'Nj-AD+LD'!AI46</f>
        <v>123</v>
      </c>
      <c r="E46" s="52">
        <f>'Nj-AD+LD'!AK46</f>
        <v>3053</v>
      </c>
      <c r="F46" s="51">
        <f>'Nj-AD+LD'!AE46</f>
        <v>379</v>
      </c>
      <c r="G46" s="127">
        <f>'Nj-AD+LD'!AF46</f>
        <v>11336</v>
      </c>
      <c r="H46" s="51">
        <f>Pa!N46</f>
        <v>10</v>
      </c>
      <c r="I46" s="53">
        <f>Pa!P46</f>
        <v>437</v>
      </c>
      <c r="J46" s="51">
        <f>'P-öar'!J46</f>
        <v>4</v>
      </c>
      <c r="K46" s="53">
        <f>'P-öar'!K46</f>
        <v>42</v>
      </c>
      <c r="L46" s="51">
        <f>Le!H46</f>
        <v>136</v>
      </c>
      <c r="M46" s="53">
        <f>Le!I46</f>
        <v>1897</v>
      </c>
      <c r="N46" s="51">
        <f>Hj!J46</f>
        <v>46</v>
      </c>
      <c r="O46" s="53">
        <f>Hj!K46</f>
        <v>632</v>
      </c>
      <c r="P46" s="51">
        <f>Lu!F46</f>
        <v>43</v>
      </c>
      <c r="Q46" s="53">
        <f>Lu!G46</f>
        <v>476</v>
      </c>
      <c r="R46" s="51">
        <f>'Hj-Lu'!F46</f>
        <v>0</v>
      </c>
      <c r="S46" s="53">
        <f>'Hj-Lu'!G46</f>
        <v>41</v>
      </c>
      <c r="T46" s="51">
        <f>Tarm!H46</f>
        <v>2</v>
      </c>
      <c r="U46" s="54">
        <f>Tarm!I46</f>
        <v>17</v>
      </c>
    </row>
    <row r="47" spans="1:21" s="67" customFormat="1" x14ac:dyDescent="0.2">
      <c r="A47" s="17">
        <v>2008</v>
      </c>
      <c r="B47" s="51">
        <f>'Don-AD'!U47</f>
        <v>152</v>
      </c>
      <c r="C47" s="52">
        <f>'Don-AD'!V47</f>
        <v>3458</v>
      </c>
      <c r="D47" s="61">
        <f>'Nj-AD+LD'!AI47</f>
        <v>136</v>
      </c>
      <c r="E47" s="52">
        <f>'Nj-AD+LD'!AK47</f>
        <v>3189</v>
      </c>
      <c r="F47" s="51">
        <f>'Nj-AD+LD'!AE47</f>
        <v>419</v>
      </c>
      <c r="G47" s="127">
        <f>'Nj-AD+LD'!AF47</f>
        <v>11755</v>
      </c>
      <c r="H47" s="51">
        <f>Pa!N47</f>
        <v>10</v>
      </c>
      <c r="I47" s="53">
        <f>Pa!P47</f>
        <v>447</v>
      </c>
      <c r="J47" s="51">
        <f>'P-öar'!J47</f>
        <v>4</v>
      </c>
      <c r="K47" s="53">
        <f>'P-öar'!K47</f>
        <v>46</v>
      </c>
      <c r="L47" s="51">
        <f>Le!H47</f>
        <v>147</v>
      </c>
      <c r="M47" s="53">
        <f>Le!I47</f>
        <v>2044</v>
      </c>
      <c r="N47" s="51">
        <f>Hj!J47</f>
        <v>44</v>
      </c>
      <c r="O47" s="53">
        <f>Hj!K47</f>
        <v>676</v>
      </c>
      <c r="P47" s="51">
        <f>Lu!F47</f>
        <v>51</v>
      </c>
      <c r="Q47" s="53">
        <f>Lu!G47</f>
        <v>527</v>
      </c>
      <c r="R47" s="51">
        <f>'Hj-Lu'!F47</f>
        <v>1</v>
      </c>
      <c r="S47" s="53">
        <f>'Hj-Lu'!G47</f>
        <v>42</v>
      </c>
      <c r="T47" s="51">
        <f>Tarm!H47</f>
        <v>5</v>
      </c>
      <c r="U47" s="54">
        <f>Tarm!I47</f>
        <v>22</v>
      </c>
    </row>
    <row r="48" spans="1:21" s="67" customFormat="1" x14ac:dyDescent="0.2">
      <c r="A48" s="17">
        <v>2009</v>
      </c>
      <c r="B48" s="51">
        <f>'Don-AD'!U48</f>
        <v>128</v>
      </c>
      <c r="C48" s="52">
        <f>'Don-AD'!V48</f>
        <v>3586</v>
      </c>
      <c r="D48" s="61">
        <f>'Nj-AD+LD'!AI48</f>
        <v>163</v>
      </c>
      <c r="E48" s="52">
        <f>'Nj-AD+LD'!AK48</f>
        <v>3352</v>
      </c>
      <c r="F48" s="51">
        <f>'Nj-AD+LD'!AE48</f>
        <v>392</v>
      </c>
      <c r="G48" s="127">
        <f>'Nj-AD+LD'!AF48</f>
        <v>12147</v>
      </c>
      <c r="H48" s="51">
        <f>Pa!N48</f>
        <v>20</v>
      </c>
      <c r="I48" s="53">
        <f>Pa!P48</f>
        <v>467</v>
      </c>
      <c r="J48" s="51">
        <f>'P-öar'!J48</f>
        <v>5</v>
      </c>
      <c r="K48" s="53">
        <f>'P-öar'!K48</f>
        <v>51</v>
      </c>
      <c r="L48" s="51">
        <f>Le!H48</f>
        <v>146</v>
      </c>
      <c r="M48" s="53">
        <f>Le!I48</f>
        <v>2190</v>
      </c>
      <c r="N48" s="51">
        <f>Hj!J48</f>
        <v>55</v>
      </c>
      <c r="O48" s="53">
        <f>Hj!K48</f>
        <v>731</v>
      </c>
      <c r="P48" s="51">
        <f>Lu!F48</f>
        <v>50</v>
      </c>
      <c r="Q48" s="53">
        <f>Lu!G48</f>
        <v>577</v>
      </c>
      <c r="R48" s="51">
        <f>'Hj-Lu'!F48</f>
        <v>1</v>
      </c>
      <c r="S48" s="53">
        <f>'Hj-Lu'!G48</f>
        <v>43</v>
      </c>
      <c r="T48" s="51">
        <f>Tarm!H48</f>
        <v>2</v>
      </c>
      <c r="U48" s="54">
        <f>Tarm!I48</f>
        <v>24</v>
      </c>
    </row>
    <row r="49" spans="1:25" s="1" customFormat="1" x14ac:dyDescent="0.2">
      <c r="A49" s="17">
        <v>2010</v>
      </c>
      <c r="B49" s="171">
        <f>'Don-AD'!U49</f>
        <v>118</v>
      </c>
      <c r="C49" s="172">
        <f>'Don-AD'!V49</f>
        <v>3704</v>
      </c>
      <c r="D49" s="129">
        <f>'Nj-AD+LD'!AI49</f>
        <v>168</v>
      </c>
      <c r="E49" s="172">
        <f>'Nj-AD+LD'!AK49</f>
        <v>3520</v>
      </c>
      <c r="F49" s="171">
        <f>'Nj-AD+LD'!AE49</f>
        <v>370</v>
      </c>
      <c r="G49" s="127">
        <f>'Nj-AD+LD'!AF49</f>
        <v>12517</v>
      </c>
      <c r="H49" s="171">
        <f>Pa!N49</f>
        <v>26</v>
      </c>
      <c r="I49" s="134">
        <f>Pa!P49</f>
        <v>493</v>
      </c>
      <c r="J49" s="171">
        <f>'P-öar'!J49</f>
        <v>10</v>
      </c>
      <c r="K49" s="134">
        <f>'P-öar'!K49</f>
        <v>61</v>
      </c>
      <c r="L49" s="171">
        <f>Le!H49</f>
        <v>137</v>
      </c>
      <c r="M49" s="134">
        <f>Le!I49</f>
        <v>2327</v>
      </c>
      <c r="N49" s="173">
        <f>Hj!J49</f>
        <v>56</v>
      </c>
      <c r="O49" s="174">
        <f>Hj!K49</f>
        <v>787</v>
      </c>
      <c r="P49" s="173">
        <f>Lu!F49</f>
        <v>51</v>
      </c>
      <c r="Q49" s="134">
        <f>Lu!G49</f>
        <v>628</v>
      </c>
      <c r="R49" s="171">
        <f>'Hj-Lu'!F49</f>
        <v>0</v>
      </c>
      <c r="S49" s="134">
        <f>'Hj-Lu'!G49</f>
        <v>43</v>
      </c>
      <c r="T49" s="171">
        <f>Tarm!H49</f>
        <v>1</v>
      </c>
      <c r="U49" s="142">
        <f>Tarm!I49</f>
        <v>25</v>
      </c>
    </row>
    <row r="50" spans="1:25" s="170" customFormat="1" x14ac:dyDescent="0.2">
      <c r="A50" s="17">
        <v>2011</v>
      </c>
      <c r="B50" s="161">
        <f>'Don-AD'!U50</f>
        <v>143</v>
      </c>
      <c r="C50" s="127">
        <f>'Don-AD'!V50</f>
        <v>3847</v>
      </c>
      <c r="D50" s="158">
        <f>'Nj-AD+LD'!AI50</f>
        <v>184</v>
      </c>
      <c r="E50" s="127">
        <f>'Nj-AD+LD'!AK50</f>
        <v>3704</v>
      </c>
      <c r="F50" s="161">
        <f>'Nj-AD+LD'!AE50</f>
        <v>435</v>
      </c>
      <c r="G50" s="127">
        <f>'Nj-AD+LD'!AF50</f>
        <v>12952</v>
      </c>
      <c r="H50" s="161">
        <f>Pa!N50</f>
        <v>35</v>
      </c>
      <c r="I50" s="126">
        <f>Pa!P50</f>
        <v>528</v>
      </c>
      <c r="J50" s="161">
        <f>'P-öar'!J50</f>
        <v>5</v>
      </c>
      <c r="K50" s="126">
        <f>'P-öar'!K50</f>
        <v>66</v>
      </c>
      <c r="L50" s="161">
        <f>Le!H50</f>
        <v>156</v>
      </c>
      <c r="M50" s="126">
        <f>Le!I50</f>
        <v>2483</v>
      </c>
      <c r="N50" s="161">
        <f>Hj!J50</f>
        <v>51</v>
      </c>
      <c r="O50" s="126">
        <f>Hj!K50</f>
        <v>838</v>
      </c>
      <c r="P50" s="161">
        <f>Lu!F50</f>
        <v>59</v>
      </c>
      <c r="Q50" s="126">
        <f>Lu!G50</f>
        <v>687</v>
      </c>
      <c r="R50" s="161">
        <f>'Hj-Lu'!F50</f>
        <v>1</v>
      </c>
      <c r="S50" s="126">
        <f>'Hj-Lu'!G50</f>
        <v>44</v>
      </c>
      <c r="T50" s="161">
        <f>Tarm!H50</f>
        <v>2</v>
      </c>
      <c r="U50" s="133">
        <f>Tarm!I50</f>
        <v>27</v>
      </c>
    </row>
    <row r="51" spans="1:25" s="165" customFormat="1" x14ac:dyDescent="0.2">
      <c r="A51" s="17">
        <v>2012</v>
      </c>
      <c r="B51" s="161">
        <f>'Don-AD'!U51</f>
        <v>141</v>
      </c>
      <c r="C51" s="127">
        <f>'Don-AD'!V51</f>
        <v>3988</v>
      </c>
      <c r="D51" s="158">
        <f>'Nj-AD+LD'!AI51</f>
        <v>155</v>
      </c>
      <c r="E51" s="127">
        <f>'Nj-AD+LD'!AK51</f>
        <v>3859</v>
      </c>
      <c r="F51" s="161">
        <f>'Nj-AD+LD'!AE51</f>
        <v>398</v>
      </c>
      <c r="G51" s="127">
        <f>'Nj-AD+LD'!AF51</f>
        <v>13350</v>
      </c>
      <c r="H51" s="161">
        <f>Pa!N51</f>
        <v>28</v>
      </c>
      <c r="I51" s="126">
        <f>Pa!P51</f>
        <v>556</v>
      </c>
      <c r="J51" s="161">
        <f>'P-öar'!J51</f>
        <v>5</v>
      </c>
      <c r="K51" s="126">
        <f>'P-öar'!K51</f>
        <v>71</v>
      </c>
      <c r="L51" s="161">
        <f>Le!H51</f>
        <v>153</v>
      </c>
      <c r="M51" s="126">
        <f>Le!I51</f>
        <v>2636</v>
      </c>
      <c r="N51" s="161">
        <f>Hj!J51</f>
        <v>47</v>
      </c>
      <c r="O51" s="126">
        <f>Hj!K51</f>
        <v>885</v>
      </c>
      <c r="P51" s="161">
        <f>Lu!F51</f>
        <v>59</v>
      </c>
      <c r="Q51" s="126">
        <f>Lu!G51</f>
        <v>746</v>
      </c>
      <c r="R51" s="161">
        <f>'Hj-Lu'!F51</f>
        <v>1</v>
      </c>
      <c r="S51" s="126">
        <f>'Hj-Lu'!G51</f>
        <v>45</v>
      </c>
      <c r="T51" s="161">
        <f>Tarm!H51</f>
        <v>2</v>
      </c>
      <c r="U51" s="133">
        <f>Tarm!I51</f>
        <v>29</v>
      </c>
    </row>
    <row r="52" spans="1:25" s="170" customFormat="1" x14ac:dyDescent="0.2">
      <c r="A52" s="17">
        <v>2013</v>
      </c>
      <c r="B52" s="161">
        <f>'Don-AD'!U52</f>
        <v>151</v>
      </c>
      <c r="C52" s="127">
        <f>'Don-AD'!V52</f>
        <v>4139</v>
      </c>
      <c r="D52" s="158">
        <f>'Nj-AD+LD'!AI52</f>
        <v>151</v>
      </c>
      <c r="E52" s="127">
        <f>'Nj-AD+LD'!AK52</f>
        <v>4010</v>
      </c>
      <c r="F52" s="161">
        <f>'Nj-AD+LD'!AE52</f>
        <v>421</v>
      </c>
      <c r="G52" s="127">
        <f>'Nj-AD+LD'!AF52</f>
        <v>13771</v>
      </c>
      <c r="H52" s="161">
        <f>Pa!N52</f>
        <v>38</v>
      </c>
      <c r="I52" s="126">
        <f>Pa!P52</f>
        <v>594</v>
      </c>
      <c r="J52" s="161">
        <f>'P-öar'!J52</f>
        <v>16</v>
      </c>
      <c r="K52" s="126">
        <f>'P-öar'!K52</f>
        <v>87</v>
      </c>
      <c r="L52" s="161">
        <f>Le!H52</f>
        <v>161</v>
      </c>
      <c r="M52" s="126">
        <f>Le!I52</f>
        <v>2797</v>
      </c>
      <c r="N52" s="161">
        <f>Hj!J52</f>
        <v>55</v>
      </c>
      <c r="O52" s="126">
        <f>Hj!K52</f>
        <v>940</v>
      </c>
      <c r="P52" s="161">
        <f>Lu!F52</f>
        <v>58</v>
      </c>
      <c r="Q52" s="126">
        <f>Lu!G52</f>
        <v>804</v>
      </c>
      <c r="R52" s="161">
        <f>'Hj-Lu'!F52</f>
        <v>0</v>
      </c>
      <c r="S52" s="126">
        <f>'Hj-Lu'!G52</f>
        <v>45</v>
      </c>
      <c r="T52" s="161">
        <f>Tarm!H52</f>
        <v>0</v>
      </c>
      <c r="U52" s="133">
        <f>Tarm!I52</f>
        <v>29</v>
      </c>
    </row>
    <row r="53" spans="1:25" s="170" customFormat="1" x14ac:dyDescent="0.2">
      <c r="A53" s="17">
        <v>2014</v>
      </c>
      <c r="B53" s="161">
        <f>'Don-AD'!U53</f>
        <v>166</v>
      </c>
      <c r="C53" s="127">
        <f>'Don-AD'!V53</f>
        <v>4305</v>
      </c>
      <c r="D53" s="158">
        <f>'Nj-AD+LD'!AI53</f>
        <v>151</v>
      </c>
      <c r="E53" s="127">
        <f>'Nj-AD+LD'!AK53</f>
        <v>4161</v>
      </c>
      <c r="F53" s="161">
        <f>'Nj-AD+LD'!AE53</f>
        <v>440</v>
      </c>
      <c r="G53" s="127">
        <f>'Nj-AD+LD'!AF53</f>
        <v>14211</v>
      </c>
      <c r="H53" s="161">
        <f>Pa!N53</f>
        <v>38</v>
      </c>
      <c r="I53" s="126">
        <f>Pa!P53</f>
        <v>632</v>
      </c>
      <c r="J53" s="161">
        <f>'P-öar'!J53</f>
        <v>20</v>
      </c>
      <c r="K53" s="126">
        <f>'P-öar'!K53</f>
        <v>107</v>
      </c>
      <c r="L53" s="161">
        <f>Le!H53</f>
        <v>182</v>
      </c>
      <c r="M53" s="126">
        <f>Le!I53</f>
        <v>2979</v>
      </c>
      <c r="N53" s="161">
        <f>Hj!J53</f>
        <v>67</v>
      </c>
      <c r="O53" s="126">
        <f>Hj!K53</f>
        <v>1007</v>
      </c>
      <c r="P53" s="161">
        <f>Lu!F53</f>
        <v>64</v>
      </c>
      <c r="Q53" s="126">
        <f>Lu!G53</f>
        <v>868</v>
      </c>
      <c r="R53" s="161">
        <f>'Hj-Lu'!F53</f>
        <v>1</v>
      </c>
      <c r="S53" s="126">
        <f>'Hj-Lu'!G53</f>
        <v>46</v>
      </c>
      <c r="T53" s="161">
        <f>Tarm!H53</f>
        <v>2</v>
      </c>
      <c r="U53" s="133">
        <f>Tarm!I53</f>
        <v>31</v>
      </c>
      <c r="V53" s="165"/>
      <c r="W53" s="165"/>
    </row>
    <row r="54" spans="1:25" s="170" customFormat="1" x14ac:dyDescent="0.2">
      <c r="A54" s="17">
        <v>2015</v>
      </c>
      <c r="B54" s="161">
        <f>'Don-AD'!U54</f>
        <v>167</v>
      </c>
      <c r="C54" s="127">
        <f>'Don-AD'!V54</f>
        <v>4472</v>
      </c>
      <c r="D54" s="158">
        <f>'Nj-AD+LD'!AI54</f>
        <v>131</v>
      </c>
      <c r="E54" s="127">
        <f>'Nj-AD+LD'!AK54</f>
        <v>4292</v>
      </c>
      <c r="F54" s="161">
        <f>'Nj-AD+LD'!AE54</f>
        <v>426</v>
      </c>
      <c r="G54" s="127">
        <f>'Nj-AD+LD'!AF54</f>
        <v>14637</v>
      </c>
      <c r="H54" s="161">
        <f>Pa!N54</f>
        <v>30</v>
      </c>
      <c r="I54" s="126">
        <f>Pa!P54</f>
        <v>662</v>
      </c>
      <c r="J54" s="161">
        <f>'P-öar'!J54</f>
        <v>16</v>
      </c>
      <c r="K54" s="126">
        <f>'P-öar'!K54</f>
        <v>123</v>
      </c>
      <c r="L54" s="161">
        <f>Le!H54</f>
        <v>180</v>
      </c>
      <c r="M54" s="126">
        <f>Le!I54</f>
        <v>3159</v>
      </c>
      <c r="N54" s="161">
        <f>Hj!J54</f>
        <v>63</v>
      </c>
      <c r="O54" s="126">
        <f>Hj!K54</f>
        <v>1070</v>
      </c>
      <c r="P54" s="161">
        <f>Lu!F54</f>
        <v>47</v>
      </c>
      <c r="Q54" s="126">
        <f>Lu!G54</f>
        <v>915</v>
      </c>
      <c r="R54" s="161">
        <f>'Hj-Lu'!F54</f>
        <v>1</v>
      </c>
      <c r="S54" s="126">
        <f>'Hj-Lu'!G54</f>
        <v>47</v>
      </c>
      <c r="T54" s="161">
        <f>Tarm!H54</f>
        <v>2</v>
      </c>
      <c r="U54" s="133">
        <f>Tarm!I54</f>
        <v>33</v>
      </c>
    </row>
    <row r="55" spans="1:25" s="165" customFormat="1" x14ac:dyDescent="0.2">
      <c r="A55" s="17">
        <v>2016</v>
      </c>
      <c r="B55" s="161">
        <f>'Don-AD'!U55</f>
        <v>185</v>
      </c>
      <c r="C55" s="127">
        <f>'Don-AD'!V55</f>
        <v>4657</v>
      </c>
      <c r="D55" s="158">
        <f>'Nj-AD+LD'!AI55</f>
        <v>135</v>
      </c>
      <c r="E55" s="127">
        <f>'Nj-AD+LD'!AK55</f>
        <v>4427</v>
      </c>
      <c r="F55" s="161">
        <f>'Nj-AD+LD'!AE55</f>
        <v>425</v>
      </c>
      <c r="G55" s="127">
        <f>'Nj-AD+LD'!AF55</f>
        <v>15062</v>
      </c>
      <c r="H55" s="161">
        <f>Pa!N55</f>
        <v>24</v>
      </c>
      <c r="I55" s="126">
        <f>Pa!P55</f>
        <v>686</v>
      </c>
      <c r="J55" s="161">
        <f>'P-öar'!J55</f>
        <v>10</v>
      </c>
      <c r="K55" s="126">
        <f>'P-öar'!K55</f>
        <v>133</v>
      </c>
      <c r="L55" s="161">
        <f>Le!H55</f>
        <v>199</v>
      </c>
      <c r="M55" s="126">
        <f>Le!I55</f>
        <v>3358</v>
      </c>
      <c r="N55" s="161">
        <f>Hj!J55</f>
        <v>64</v>
      </c>
      <c r="O55" s="126">
        <f>Hj!K55</f>
        <v>1134</v>
      </c>
      <c r="P55" s="161">
        <f>Lu!F55</f>
        <v>62</v>
      </c>
      <c r="Q55" s="126">
        <f>Lu!G55</f>
        <v>977</v>
      </c>
      <c r="R55" s="161">
        <f>'Hj-Lu'!F55</f>
        <v>0</v>
      </c>
      <c r="S55" s="126">
        <f>'Hj-Lu'!G55</f>
        <v>47</v>
      </c>
      <c r="T55" s="161">
        <f>Tarm!H55</f>
        <v>2</v>
      </c>
      <c r="U55" s="133">
        <f>Tarm!I55</f>
        <v>35</v>
      </c>
    </row>
    <row r="56" spans="1:25" s="170" customFormat="1" x14ac:dyDescent="0.2">
      <c r="A56" s="17">
        <v>2017</v>
      </c>
      <c r="B56" s="161">
        <f>'Don-AD'!U56</f>
        <v>188</v>
      </c>
      <c r="C56" s="127">
        <f>'Don-AD'!V56</f>
        <v>4845</v>
      </c>
      <c r="D56" s="158">
        <f>'Nj-AD+LD'!AI56</f>
        <v>125</v>
      </c>
      <c r="E56" s="127">
        <f>'Nj-AD+LD'!AK56</f>
        <v>4552</v>
      </c>
      <c r="F56" s="161">
        <f>'Nj-AD+LD'!AE56</f>
        <v>474</v>
      </c>
      <c r="G56" s="127">
        <f>'Nj-AD+LD'!AF56</f>
        <v>15536</v>
      </c>
      <c r="H56" s="161">
        <f>Pa!N56</f>
        <v>25</v>
      </c>
      <c r="I56" s="126">
        <f>Pa!P56</f>
        <v>711</v>
      </c>
      <c r="J56" s="161">
        <f>'P-öar'!J56</f>
        <v>10</v>
      </c>
      <c r="K56" s="126">
        <f>'P-öar'!K56</f>
        <v>143</v>
      </c>
      <c r="L56" s="161">
        <f>Le!H56</f>
        <v>181</v>
      </c>
      <c r="M56" s="126">
        <f>Le!I56</f>
        <v>3539</v>
      </c>
      <c r="N56" s="161">
        <f>Hj!J56</f>
        <v>62</v>
      </c>
      <c r="O56" s="126">
        <f>Hj!K56</f>
        <v>1196</v>
      </c>
      <c r="P56" s="161">
        <f>Lu!F56</f>
        <v>65</v>
      </c>
      <c r="Q56" s="126">
        <f>Lu!G56</f>
        <v>1042</v>
      </c>
      <c r="R56" s="161">
        <f>'Hj-Lu'!F56</f>
        <v>0</v>
      </c>
      <c r="S56" s="126">
        <f>'Hj-Lu'!G56</f>
        <v>47</v>
      </c>
      <c r="T56" s="161">
        <f>Tarm!H56</f>
        <v>2</v>
      </c>
      <c r="U56" s="133">
        <f>Tarm!I56</f>
        <v>37</v>
      </c>
    </row>
    <row r="57" spans="1:25" s="170" customFormat="1" x14ac:dyDescent="0.2">
      <c r="A57" s="17">
        <v>2018</v>
      </c>
      <c r="B57" s="161">
        <f>'Don-AD'!U57+'Don-AD'!S57</f>
        <v>182</v>
      </c>
      <c r="C57" s="127">
        <f>'Don-AD'!V57</f>
        <v>5027</v>
      </c>
      <c r="D57" s="158">
        <f>'Nj-AD+LD'!AI57</f>
        <v>144</v>
      </c>
      <c r="E57" s="127">
        <f>'Nj-AD+LD'!AK57</f>
        <v>4696</v>
      </c>
      <c r="F57" s="161">
        <f>'Nj-AD+LD'!AE57</f>
        <v>448</v>
      </c>
      <c r="G57" s="127">
        <f>'Nj-AD+LD'!AF57</f>
        <v>15984</v>
      </c>
      <c r="H57" s="161">
        <f>Pa!N57</f>
        <v>18</v>
      </c>
      <c r="I57" s="126">
        <f>Pa!P57</f>
        <v>729</v>
      </c>
      <c r="J57" s="161">
        <f>'P-öar'!J57</f>
        <v>14</v>
      </c>
      <c r="K57" s="126">
        <f>'P-öar'!K57</f>
        <v>157</v>
      </c>
      <c r="L57" s="161">
        <f>Le!H57</f>
        <v>163</v>
      </c>
      <c r="M57" s="126">
        <f>Le!I57</f>
        <v>3702</v>
      </c>
      <c r="N57" s="161">
        <f>Hj!J57</f>
        <v>66</v>
      </c>
      <c r="O57" s="126">
        <f>Hj!K57</f>
        <v>1262</v>
      </c>
      <c r="P57" s="161">
        <f>Lu!F57</f>
        <v>74</v>
      </c>
      <c r="Q57" s="126">
        <f>Lu!G57</f>
        <v>1116</v>
      </c>
      <c r="R57" s="161">
        <f>'Hj-Lu'!F57</f>
        <v>0</v>
      </c>
      <c r="S57" s="126">
        <f>'Hj-Lu'!G57</f>
        <v>47</v>
      </c>
      <c r="T57" s="161">
        <f>Tarm!H57</f>
        <v>2</v>
      </c>
      <c r="U57" s="133">
        <f>Tarm!I57</f>
        <v>39</v>
      </c>
    </row>
    <row r="58" spans="1:25" s="230" customFormat="1" x14ac:dyDescent="0.2">
      <c r="A58" s="17">
        <v>2019</v>
      </c>
      <c r="B58" s="171">
        <f>'Don-AD'!U58+'Don-AD'!S58</f>
        <v>191</v>
      </c>
      <c r="C58" s="172">
        <f>'Don-AD'!V58</f>
        <v>5218</v>
      </c>
      <c r="D58" s="129">
        <f>'Nj-AD+LD'!AI58</f>
        <v>147</v>
      </c>
      <c r="E58" s="172">
        <f>'Nj-AD+LD'!AK58</f>
        <v>4843</v>
      </c>
      <c r="F58" s="171">
        <f>'Nj-AD+LD'!AE58</f>
        <v>476</v>
      </c>
      <c r="G58" s="172">
        <f>'Nj-AD+LD'!AF58</f>
        <v>16460</v>
      </c>
      <c r="H58" s="171">
        <f>Pa!N58</f>
        <v>23</v>
      </c>
      <c r="I58" s="134">
        <f>Pa!P58</f>
        <v>752</v>
      </c>
      <c r="J58" s="171">
        <f>'P-öar'!J58</f>
        <v>13</v>
      </c>
      <c r="K58" s="134">
        <f>'P-öar'!K58</f>
        <v>170</v>
      </c>
      <c r="L58" s="171">
        <f>Le!H58</f>
        <v>183</v>
      </c>
      <c r="M58" s="134">
        <f>Le!I58</f>
        <v>3885</v>
      </c>
      <c r="N58" s="171">
        <f>Hj!J58</f>
        <v>60</v>
      </c>
      <c r="O58" s="134">
        <f>Hj!K58</f>
        <v>1322</v>
      </c>
      <c r="P58" s="171">
        <f>Lu!F58</f>
        <v>55</v>
      </c>
      <c r="Q58" s="134">
        <f>Lu!G58</f>
        <v>1171</v>
      </c>
      <c r="R58" s="171">
        <f>'Hj-Lu'!F58</f>
        <v>1</v>
      </c>
      <c r="S58" s="134">
        <f>'Hj-Lu'!G58</f>
        <v>48</v>
      </c>
      <c r="T58" s="171">
        <f>Tarm!H58</f>
        <v>0</v>
      </c>
      <c r="U58" s="142">
        <f>Tarm!I58</f>
        <v>39</v>
      </c>
    </row>
    <row r="59" spans="1:25" s="67" customFormat="1" x14ac:dyDescent="0.2">
      <c r="A59" s="17">
        <v>2020</v>
      </c>
      <c r="B59" s="161">
        <f>'Don-AD'!U59+'Don-AD'!S59</f>
        <v>174</v>
      </c>
      <c r="C59" s="127">
        <f>'Don-AD'!V59</f>
        <v>5392</v>
      </c>
      <c r="D59" s="158">
        <f>'Nj-AD+LD'!AI59</f>
        <v>116</v>
      </c>
      <c r="E59" s="127">
        <f>'Nj-AD+LD'!AK59</f>
        <v>4959</v>
      </c>
      <c r="F59" s="161">
        <f>'Nj-AD+LD'!AE59</f>
        <v>429</v>
      </c>
      <c r="G59" s="127">
        <f>'Nj-AD+LD'!AF59</f>
        <v>16889</v>
      </c>
      <c r="H59" s="161">
        <f>Pa!N59</f>
        <v>13</v>
      </c>
      <c r="I59" s="126">
        <f>Pa!P59</f>
        <v>765</v>
      </c>
      <c r="J59" s="161">
        <f>'P-öar'!J59</f>
        <v>5</v>
      </c>
      <c r="K59" s="126">
        <f>'P-öar'!K59</f>
        <v>175</v>
      </c>
      <c r="L59" s="161">
        <f>Le!H59</f>
        <v>172</v>
      </c>
      <c r="M59" s="126">
        <f>Le!I59</f>
        <v>4057</v>
      </c>
      <c r="N59" s="161">
        <f>Hj!J59</f>
        <v>54</v>
      </c>
      <c r="O59" s="126">
        <f>Hj!K59</f>
        <v>1376</v>
      </c>
      <c r="P59" s="161">
        <f>Lu!F59</f>
        <v>51</v>
      </c>
      <c r="Q59" s="126">
        <f>Lu!G59</f>
        <v>1222</v>
      </c>
      <c r="R59" s="175">
        <f>'Hj-Lu'!F59</f>
        <v>0</v>
      </c>
      <c r="S59" s="126">
        <f>'Hj-Lu'!G59</f>
        <v>48</v>
      </c>
      <c r="T59" s="175">
        <f>Tarm!H59</f>
        <v>0</v>
      </c>
      <c r="U59" s="133">
        <f>Tarm!I59</f>
        <v>39</v>
      </c>
    </row>
    <row r="60" spans="1:25" s="67" customFormat="1" x14ac:dyDescent="0.2">
      <c r="A60" s="17">
        <v>2021</v>
      </c>
      <c r="B60" s="161">
        <f>'Don-AD'!U60+'Don-AD'!S60</f>
        <v>192</v>
      </c>
      <c r="C60" s="127">
        <f>'Don-AD'!V60</f>
        <v>5584</v>
      </c>
      <c r="D60" s="158">
        <f>'Nj-AD+LD'!AI60</f>
        <v>118</v>
      </c>
      <c r="E60" s="127">
        <f>'Nj-AD+LD'!AK60</f>
        <v>5077</v>
      </c>
      <c r="F60" s="161">
        <f>'Nj-AD+LD'!AE60</f>
        <v>445</v>
      </c>
      <c r="G60" s="127">
        <f>'Nj-AD+LD'!AF60</f>
        <v>17334</v>
      </c>
      <c r="H60" s="161">
        <f>Pa!N60</f>
        <v>13</v>
      </c>
      <c r="I60" s="126">
        <f>Pa!P60</f>
        <v>778</v>
      </c>
      <c r="J60" s="161">
        <f>'P-öar'!J60</f>
        <v>3</v>
      </c>
      <c r="K60" s="126">
        <f>'P-öar'!K60</f>
        <v>178</v>
      </c>
      <c r="L60" s="161">
        <f>Le!H60</f>
        <v>170</v>
      </c>
      <c r="M60" s="126">
        <f>Le!I60</f>
        <v>4227</v>
      </c>
      <c r="N60" s="161">
        <f>Hj!J60</f>
        <v>66</v>
      </c>
      <c r="O60" s="126">
        <f>Hj!K60</f>
        <v>1442</v>
      </c>
      <c r="P60" s="161">
        <f>Lu!F60</f>
        <v>51</v>
      </c>
      <c r="Q60" s="126">
        <f>Lu!G60</f>
        <v>1273</v>
      </c>
      <c r="R60" s="175">
        <f>'Hj-Lu'!F60</f>
        <v>0</v>
      </c>
      <c r="S60" s="126">
        <f>'Hj-Lu'!G60</f>
        <v>48</v>
      </c>
      <c r="T60" s="161">
        <f>Tarm!H60</f>
        <v>2</v>
      </c>
      <c r="U60" s="133">
        <f>Tarm!I60</f>
        <v>41</v>
      </c>
    </row>
    <row r="61" spans="1:25" s="67" customFormat="1" x14ac:dyDescent="0.2">
      <c r="A61" s="17">
        <v>2022</v>
      </c>
      <c r="B61" s="182">
        <f>'Don-AD'!U61+'Don-AD'!S61</f>
        <v>206</v>
      </c>
      <c r="C61" s="183">
        <f>'Don-AD'!V61</f>
        <v>5790</v>
      </c>
      <c r="D61" s="190">
        <f>'Nj-AD+LD'!AI61</f>
        <v>99</v>
      </c>
      <c r="E61" s="183">
        <f>'Nj-AD+LD'!AK61</f>
        <v>5176</v>
      </c>
      <c r="F61" s="182">
        <f>'Nj-AD+LD'!AE61</f>
        <v>465</v>
      </c>
      <c r="G61" s="183">
        <f>'Nj-AD+LD'!AF61</f>
        <v>17799</v>
      </c>
      <c r="H61" s="182">
        <f>Pa!N61</f>
        <v>17</v>
      </c>
      <c r="I61" s="179">
        <f>Pa!P61</f>
        <v>795</v>
      </c>
      <c r="J61" s="182">
        <f>'P-öar'!J61</f>
        <v>1</v>
      </c>
      <c r="K61" s="179">
        <f>'P-öar'!K61</f>
        <v>179</v>
      </c>
      <c r="L61" s="182">
        <f>Le!H61</f>
        <v>166</v>
      </c>
      <c r="M61" s="179">
        <f>Le!I61</f>
        <v>4393</v>
      </c>
      <c r="N61" s="182">
        <f>Hj!J61</f>
        <v>54</v>
      </c>
      <c r="O61" s="179">
        <f>Hj!K61</f>
        <v>1496</v>
      </c>
      <c r="P61" s="182">
        <f>Lu!F61</f>
        <v>49</v>
      </c>
      <c r="Q61" s="179">
        <f>Lu!G61</f>
        <v>1322</v>
      </c>
      <c r="R61" s="182">
        <f>'Hj-Lu'!F61</f>
        <v>1</v>
      </c>
      <c r="S61" s="179">
        <f>'Hj-Lu'!G61</f>
        <v>49</v>
      </c>
      <c r="T61" s="182">
        <f>Tarm!H61</f>
        <v>1</v>
      </c>
      <c r="U61" s="181">
        <f>Tarm!I61</f>
        <v>42</v>
      </c>
      <c r="V61" s="70"/>
      <c r="W61" s="70"/>
      <c r="X61" s="70"/>
      <c r="Y61" s="70"/>
    </row>
    <row r="62" spans="1:25" s="67" customFormat="1" x14ac:dyDescent="0.2">
      <c r="A62" s="17">
        <v>2023</v>
      </c>
      <c r="B62" s="182">
        <f>'Don-AD'!U62+'Don-AD'!S62</f>
        <v>258</v>
      </c>
      <c r="C62" s="183">
        <f>'Don-AD'!V62</f>
        <v>6048</v>
      </c>
      <c r="D62" s="190">
        <f>'Nj-AD+LD'!AI62</f>
        <v>100</v>
      </c>
      <c r="E62" s="183">
        <f>'Nj-AD+LD'!AK62</f>
        <v>5276</v>
      </c>
      <c r="F62" s="182">
        <f>'Nj-AD+LD'!AE62</f>
        <v>523</v>
      </c>
      <c r="G62" s="183">
        <f>'Nj-AD+LD'!AF62</f>
        <v>18322</v>
      </c>
      <c r="H62" s="182">
        <f>Pa!N62</f>
        <v>21</v>
      </c>
      <c r="I62" s="179">
        <f>Pa!P62</f>
        <v>818</v>
      </c>
      <c r="J62" s="182">
        <f>'P-öar'!J62</f>
        <v>6</v>
      </c>
      <c r="K62" s="179">
        <f>'P-öar'!K62</f>
        <v>185</v>
      </c>
      <c r="L62" s="182">
        <f>Le!H62</f>
        <v>198</v>
      </c>
      <c r="M62" s="179">
        <f>Le!I62</f>
        <v>4591</v>
      </c>
      <c r="N62" s="182">
        <f>Hj!J62</f>
        <v>68</v>
      </c>
      <c r="O62" s="179">
        <f>Hj!K62</f>
        <v>1564</v>
      </c>
      <c r="P62" s="182">
        <f>Lu!F62</f>
        <v>85</v>
      </c>
      <c r="Q62" s="179">
        <f>Lu!G62</f>
        <v>1407</v>
      </c>
      <c r="R62" s="182">
        <f>'Hj-Lu'!F62</f>
        <v>1</v>
      </c>
      <c r="S62" s="179">
        <f>'Hj-Lu'!G62</f>
        <v>50</v>
      </c>
      <c r="T62" s="182">
        <f>Tarm!H62</f>
        <v>2</v>
      </c>
      <c r="U62" s="181">
        <f>Tarm!I62</f>
        <v>44</v>
      </c>
      <c r="V62" s="70"/>
      <c r="W62" s="70"/>
      <c r="X62" s="70"/>
      <c r="Y62" s="70"/>
    </row>
    <row r="63" spans="1:25" s="67" customFormat="1" x14ac:dyDescent="0.2">
      <c r="A63" s="221">
        <v>2024</v>
      </c>
      <c r="B63" s="182">
        <f>'Don-AD'!U63+'Don-AD'!S63</f>
        <v>233</v>
      </c>
      <c r="C63" s="183">
        <f>'Don-AD'!V63</f>
        <v>6281</v>
      </c>
      <c r="D63" s="190">
        <f>'Nj-AD+LD'!AI63</f>
        <v>111</v>
      </c>
      <c r="E63" s="183">
        <f>'Nj-AD+LD'!AK63</f>
        <v>5387</v>
      </c>
      <c r="F63" s="182">
        <f>'Nj-AD+LD'!AE63</f>
        <v>512</v>
      </c>
      <c r="G63" s="183">
        <f>'Nj-AD+LD'!AF63</f>
        <v>18834</v>
      </c>
      <c r="H63" s="182">
        <f>Pa!N63+Pa!O63</f>
        <v>17</v>
      </c>
      <c r="I63" s="179">
        <f>Pa!P63</f>
        <v>835</v>
      </c>
      <c r="J63" s="182">
        <f>'P-öar'!J63</f>
        <v>2</v>
      </c>
      <c r="K63" s="179">
        <f>'P-öar'!K63</f>
        <v>187</v>
      </c>
      <c r="L63" s="182">
        <f>Le!H63</f>
        <v>177</v>
      </c>
      <c r="M63" s="179">
        <f>Le!I63</f>
        <v>4768</v>
      </c>
      <c r="N63" s="182">
        <f>Hj!J63</f>
        <v>53</v>
      </c>
      <c r="O63" s="179">
        <f>Hj!K63</f>
        <v>1617</v>
      </c>
      <c r="P63" s="182">
        <f>Lu!F63</f>
        <v>58</v>
      </c>
      <c r="Q63" s="179">
        <f>Lu!G63</f>
        <v>1465</v>
      </c>
      <c r="R63" s="182">
        <f>'Hj-Lu'!F63</f>
        <v>1</v>
      </c>
      <c r="S63" s="179">
        <f>'Hj-Lu'!G63</f>
        <v>51</v>
      </c>
      <c r="T63" s="182">
        <f>Tarm!H63</f>
        <v>3</v>
      </c>
      <c r="U63" s="181">
        <f>Tarm!I63</f>
        <v>47</v>
      </c>
      <c r="V63" s="197"/>
      <c r="W63" s="197"/>
      <c r="X63" s="197"/>
      <c r="Y63" s="70"/>
    </row>
    <row r="64" spans="1:25" s="67" customFormat="1" x14ac:dyDescent="0.2">
      <c r="A64" s="17">
        <v>2025</v>
      </c>
      <c r="B64" s="182">
        <f>'Don-AD'!U64+'Don-AD'!S64</f>
        <v>0</v>
      </c>
      <c r="C64" s="183">
        <f>'Don-AD'!V64</f>
        <v>0</v>
      </c>
      <c r="D64" s="190">
        <f>'Nj-AD+LD'!AI64</f>
        <v>0</v>
      </c>
      <c r="E64" s="183">
        <f>'Nj-AD+LD'!AK64</f>
        <v>0</v>
      </c>
      <c r="F64" s="182">
        <f>'Nj-AD+LD'!AE64</f>
        <v>0</v>
      </c>
      <c r="G64" s="183">
        <f>'Nj-AD+LD'!AF64</f>
        <v>0</v>
      </c>
      <c r="H64" s="182">
        <f>Pa!N64</f>
        <v>0</v>
      </c>
      <c r="I64" s="179">
        <f>Pa!P64</f>
        <v>0</v>
      </c>
      <c r="J64" s="182">
        <f>'P-öar'!J64</f>
        <v>0</v>
      </c>
      <c r="K64" s="179">
        <f>'P-öar'!K64</f>
        <v>0</v>
      </c>
      <c r="L64" s="182">
        <f>Le!H64</f>
        <v>0</v>
      </c>
      <c r="M64" s="179">
        <f>Le!I64</f>
        <v>0</v>
      </c>
      <c r="N64" s="182">
        <f>Hj!J64</f>
        <v>0</v>
      </c>
      <c r="O64" s="179">
        <f>Hj!K64</f>
        <v>0</v>
      </c>
      <c r="P64" s="182">
        <f>Lu!F64</f>
        <v>0</v>
      </c>
      <c r="Q64" s="179">
        <f>Lu!G64</f>
        <v>0</v>
      </c>
      <c r="R64" s="182">
        <f>'Hj-Lu'!F64</f>
        <v>0</v>
      </c>
      <c r="S64" s="179">
        <f>'Hj-Lu'!G64</f>
        <v>0</v>
      </c>
      <c r="T64" s="182">
        <f>Tarm!H64</f>
        <v>0</v>
      </c>
      <c r="U64" s="181">
        <f>Tarm!I64</f>
        <v>0</v>
      </c>
      <c r="V64" s="343"/>
      <c r="W64" s="343"/>
      <c r="X64" s="343"/>
      <c r="Y64" s="70"/>
    </row>
    <row r="65" spans="1:25" s="67" customFormat="1" x14ac:dyDescent="0.2">
      <c r="A65" s="17">
        <v>2026</v>
      </c>
      <c r="B65" s="182">
        <f>'Don-AD'!U65+'Don-AD'!S65</f>
        <v>0</v>
      </c>
      <c r="C65" s="183">
        <f>'Don-AD'!V65</f>
        <v>0</v>
      </c>
      <c r="D65" s="190">
        <f>'Nj-AD+LD'!AI65</f>
        <v>0</v>
      </c>
      <c r="E65" s="183">
        <f>'Nj-AD+LD'!AK65</f>
        <v>0</v>
      </c>
      <c r="F65" s="182">
        <f>'Nj-AD+LD'!AE65</f>
        <v>0</v>
      </c>
      <c r="G65" s="183">
        <f>'Nj-AD+LD'!AF65</f>
        <v>0</v>
      </c>
      <c r="H65" s="182">
        <f>Pa!N65</f>
        <v>0</v>
      </c>
      <c r="I65" s="179">
        <f>Pa!P65</f>
        <v>0</v>
      </c>
      <c r="J65" s="182">
        <f>'P-öar'!J65</f>
        <v>0</v>
      </c>
      <c r="K65" s="179">
        <f>'P-öar'!K65</f>
        <v>0</v>
      </c>
      <c r="L65" s="182">
        <f>Le!H65</f>
        <v>0</v>
      </c>
      <c r="M65" s="179">
        <f>Le!I65</f>
        <v>0</v>
      </c>
      <c r="N65" s="182">
        <f>Hj!J65</f>
        <v>0</v>
      </c>
      <c r="O65" s="179">
        <f>Hj!K65</f>
        <v>0</v>
      </c>
      <c r="P65" s="182">
        <f>Lu!F65</f>
        <v>0</v>
      </c>
      <c r="Q65" s="179">
        <f>Lu!G65</f>
        <v>0</v>
      </c>
      <c r="R65" s="182">
        <f>'Hj-Lu'!F65</f>
        <v>0</v>
      </c>
      <c r="S65" s="179">
        <f>'Hj-Lu'!G65</f>
        <v>0</v>
      </c>
      <c r="T65" s="182">
        <f>Tarm!H65</f>
        <v>0</v>
      </c>
      <c r="U65" s="181">
        <f>Tarm!I65</f>
        <v>0</v>
      </c>
      <c r="V65" s="70"/>
      <c r="W65" s="70"/>
      <c r="X65" s="70"/>
      <c r="Y65" s="70"/>
    </row>
    <row r="66" spans="1:25" s="67" customFormat="1" x14ac:dyDescent="0.2">
      <c r="A66" s="17">
        <v>2027</v>
      </c>
      <c r="B66" s="182">
        <f>'Don-AD'!U66+'Don-AD'!S66</f>
        <v>0</v>
      </c>
      <c r="C66" s="183">
        <f>'Don-AD'!V66</f>
        <v>0</v>
      </c>
      <c r="D66" s="190">
        <f>'Nj-AD+LD'!AI66</f>
        <v>0</v>
      </c>
      <c r="E66" s="183">
        <f>'Nj-AD+LD'!AK66</f>
        <v>0</v>
      </c>
      <c r="F66" s="182">
        <f>'Nj-AD+LD'!AE66</f>
        <v>0</v>
      </c>
      <c r="G66" s="183">
        <f>'Nj-AD+LD'!AF66</f>
        <v>0</v>
      </c>
      <c r="H66" s="182">
        <f>Pa!N66</f>
        <v>0</v>
      </c>
      <c r="I66" s="179">
        <f>Pa!P66</f>
        <v>0</v>
      </c>
      <c r="J66" s="182">
        <f>'P-öar'!J66</f>
        <v>0</v>
      </c>
      <c r="K66" s="179">
        <f>'P-öar'!K66</f>
        <v>0</v>
      </c>
      <c r="L66" s="182">
        <f>Le!H66</f>
        <v>0</v>
      </c>
      <c r="M66" s="179">
        <f>Le!I66</f>
        <v>0</v>
      </c>
      <c r="N66" s="182">
        <f>Hj!J66</f>
        <v>0</v>
      </c>
      <c r="O66" s="179">
        <f>Hj!K66</f>
        <v>0</v>
      </c>
      <c r="P66" s="182">
        <f>Lu!F66</f>
        <v>0</v>
      </c>
      <c r="Q66" s="179">
        <f>Lu!G66</f>
        <v>0</v>
      </c>
      <c r="R66" s="182">
        <f>'Hj-Lu'!F66</f>
        <v>0</v>
      </c>
      <c r="S66" s="179">
        <f>'Hj-Lu'!G66</f>
        <v>0</v>
      </c>
      <c r="T66" s="182">
        <f>Tarm!H66</f>
        <v>0</v>
      </c>
      <c r="U66" s="181">
        <f>Tarm!I66</f>
        <v>0</v>
      </c>
      <c r="V66" s="70"/>
      <c r="W66" s="70"/>
      <c r="X66" s="70"/>
      <c r="Y66" s="70"/>
    </row>
    <row r="67" spans="1:25" s="67" customFormat="1" x14ac:dyDescent="0.2">
      <c r="A67" s="17">
        <v>2028</v>
      </c>
      <c r="B67" s="182">
        <f>'Don-AD'!U67+'Don-AD'!S67</f>
        <v>0</v>
      </c>
      <c r="C67" s="183">
        <f>'Don-AD'!V67</f>
        <v>0</v>
      </c>
      <c r="D67" s="190">
        <f>'Nj-AD+LD'!AI67</f>
        <v>0</v>
      </c>
      <c r="E67" s="183">
        <f>'Nj-AD+LD'!AK67</f>
        <v>0</v>
      </c>
      <c r="F67" s="182">
        <f>'Nj-AD+LD'!AE67</f>
        <v>0</v>
      </c>
      <c r="G67" s="183">
        <f>'Nj-AD+LD'!AF67</f>
        <v>0</v>
      </c>
      <c r="H67" s="182">
        <f>Pa!N67</f>
        <v>0</v>
      </c>
      <c r="I67" s="179">
        <f>Pa!P67</f>
        <v>0</v>
      </c>
      <c r="J67" s="182">
        <f>'P-öar'!J67</f>
        <v>0</v>
      </c>
      <c r="K67" s="179">
        <f>'P-öar'!K67</f>
        <v>0</v>
      </c>
      <c r="L67" s="182">
        <f>Le!H67</f>
        <v>0</v>
      </c>
      <c r="M67" s="179">
        <f>Le!I67</f>
        <v>0</v>
      </c>
      <c r="N67" s="182">
        <f>Hj!J67</f>
        <v>0</v>
      </c>
      <c r="O67" s="179">
        <f>Hj!K67</f>
        <v>0</v>
      </c>
      <c r="P67" s="182">
        <f>Lu!F67</f>
        <v>0</v>
      </c>
      <c r="Q67" s="179">
        <f>Lu!G67</f>
        <v>0</v>
      </c>
      <c r="R67" s="182">
        <f>'Hj-Lu'!F67</f>
        <v>0</v>
      </c>
      <c r="S67" s="179">
        <f>'Hj-Lu'!G67</f>
        <v>0</v>
      </c>
      <c r="T67" s="182">
        <f>Tarm!H67</f>
        <v>0</v>
      </c>
      <c r="U67" s="181">
        <f>Tarm!I67</f>
        <v>0</v>
      </c>
      <c r="V67" s="70"/>
      <c r="W67" s="70"/>
      <c r="X67" s="70"/>
      <c r="Y67" s="70"/>
    </row>
    <row r="68" spans="1:25" s="67" customFormat="1" x14ac:dyDescent="0.2">
      <c r="A68" s="17">
        <v>2029</v>
      </c>
      <c r="B68" s="182">
        <f>'Don-AD'!U68+'Don-AD'!S68</f>
        <v>0</v>
      </c>
      <c r="C68" s="183">
        <f>'Don-AD'!V68</f>
        <v>0</v>
      </c>
      <c r="D68" s="190">
        <f>'Nj-AD+LD'!AI68</f>
        <v>0</v>
      </c>
      <c r="E68" s="183">
        <f>'Nj-AD+LD'!AK68</f>
        <v>0</v>
      </c>
      <c r="F68" s="182">
        <f>'Nj-AD+LD'!AE68</f>
        <v>0</v>
      </c>
      <c r="G68" s="183">
        <f>'Nj-AD+LD'!AF68</f>
        <v>0</v>
      </c>
      <c r="H68" s="182">
        <f>Pa!N68</f>
        <v>0</v>
      </c>
      <c r="I68" s="179">
        <f>Pa!P68</f>
        <v>0</v>
      </c>
      <c r="J68" s="182">
        <f>'P-öar'!J68</f>
        <v>0</v>
      </c>
      <c r="K68" s="179">
        <f>'P-öar'!K68</f>
        <v>0</v>
      </c>
      <c r="L68" s="182">
        <f>Le!H68</f>
        <v>0</v>
      </c>
      <c r="M68" s="179">
        <f>Le!I68</f>
        <v>0</v>
      </c>
      <c r="N68" s="182">
        <f>Hj!J68</f>
        <v>0</v>
      </c>
      <c r="O68" s="179">
        <f>Hj!K68</f>
        <v>0</v>
      </c>
      <c r="P68" s="182">
        <f>Lu!F68</f>
        <v>0</v>
      </c>
      <c r="Q68" s="179">
        <f>Lu!G68</f>
        <v>0</v>
      </c>
      <c r="R68" s="182">
        <f>'Hj-Lu'!F68</f>
        <v>0</v>
      </c>
      <c r="S68" s="179">
        <f>'Hj-Lu'!G68</f>
        <v>0</v>
      </c>
      <c r="T68" s="182">
        <f>Tarm!H68</f>
        <v>0</v>
      </c>
      <c r="U68" s="181">
        <f>Tarm!I68</f>
        <v>0</v>
      </c>
    </row>
    <row r="69" spans="1:25" s="67" customFormat="1" x14ac:dyDescent="0.2">
      <c r="A69" s="17">
        <v>2030</v>
      </c>
      <c r="B69" s="182">
        <f>'Don-AD'!U69+'Don-AD'!S69</f>
        <v>0</v>
      </c>
      <c r="C69" s="183">
        <f>'Don-AD'!V69</f>
        <v>0</v>
      </c>
      <c r="D69" s="190">
        <f>'Nj-AD+LD'!AI69</f>
        <v>0</v>
      </c>
      <c r="E69" s="183">
        <f>'Nj-AD+LD'!AK69</f>
        <v>0</v>
      </c>
      <c r="F69" s="182">
        <f>'Nj-AD+LD'!AE69</f>
        <v>0</v>
      </c>
      <c r="G69" s="183">
        <f>'Nj-AD+LD'!AF69</f>
        <v>0</v>
      </c>
      <c r="H69" s="182">
        <f>Pa!N69</f>
        <v>0</v>
      </c>
      <c r="I69" s="179">
        <f>Pa!P69</f>
        <v>0</v>
      </c>
      <c r="J69" s="182">
        <f>'P-öar'!J69</f>
        <v>0</v>
      </c>
      <c r="K69" s="179">
        <f>'P-öar'!K69</f>
        <v>0</v>
      </c>
      <c r="L69" s="182">
        <f>Le!H69</f>
        <v>0</v>
      </c>
      <c r="M69" s="179">
        <f>Le!I69</f>
        <v>0</v>
      </c>
      <c r="N69" s="182">
        <f>Hj!J69</f>
        <v>0</v>
      </c>
      <c r="O69" s="179">
        <f>Hj!K69</f>
        <v>0</v>
      </c>
      <c r="P69" s="182">
        <f>Lu!F69</f>
        <v>0</v>
      </c>
      <c r="Q69" s="179">
        <f>Lu!G69</f>
        <v>0</v>
      </c>
      <c r="R69" s="182">
        <f>'Hj-Lu'!F69</f>
        <v>0</v>
      </c>
      <c r="S69" s="179">
        <f>'Hj-Lu'!G69</f>
        <v>0</v>
      </c>
      <c r="T69" s="182">
        <f>Tarm!H69</f>
        <v>0</v>
      </c>
      <c r="U69" s="181">
        <f>Tarm!I69</f>
        <v>0</v>
      </c>
    </row>
    <row r="70" spans="1:25" s="67" customFormat="1" x14ac:dyDescent="0.2">
      <c r="A70" s="17"/>
      <c r="B70" s="51"/>
      <c r="C70" s="54"/>
      <c r="D70" s="63"/>
      <c r="E70" s="71"/>
      <c r="F70" s="63"/>
      <c r="G70" s="62"/>
      <c r="H70" s="64"/>
      <c r="I70" s="62"/>
      <c r="J70" s="64"/>
      <c r="K70" s="62"/>
      <c r="L70" s="64"/>
      <c r="M70" s="62"/>
      <c r="N70" s="64"/>
      <c r="O70" s="62"/>
      <c r="P70" s="64"/>
      <c r="Q70" s="62"/>
      <c r="R70" s="64"/>
      <c r="S70" s="62"/>
      <c r="T70" s="64"/>
      <c r="U70" s="62"/>
    </row>
    <row r="71" spans="1:25" s="67" customFormat="1" x14ac:dyDescent="0.2">
      <c r="A71" s="17"/>
      <c r="B71" s="51"/>
      <c r="C71" s="54"/>
      <c r="D71" s="63"/>
      <c r="E71" s="71"/>
      <c r="F71" s="63"/>
      <c r="G71" s="62"/>
      <c r="H71" s="64"/>
      <c r="I71" s="62"/>
      <c r="J71" s="64"/>
      <c r="K71" s="62"/>
      <c r="L71" s="64"/>
      <c r="M71" s="62"/>
      <c r="N71" s="64"/>
      <c r="O71" s="62"/>
      <c r="P71" s="64"/>
      <c r="Q71" s="62"/>
      <c r="R71" s="64"/>
      <c r="S71" s="62"/>
      <c r="T71" s="64"/>
      <c r="U71" s="62"/>
    </row>
    <row r="72" spans="1:25" s="67" customFormat="1" x14ac:dyDescent="0.2">
      <c r="A72" s="18"/>
      <c r="B72" s="55"/>
      <c r="C72" s="58"/>
      <c r="D72" s="74"/>
      <c r="E72" s="76"/>
      <c r="F72" s="74"/>
      <c r="G72" s="75"/>
      <c r="H72" s="79"/>
      <c r="I72" s="75"/>
      <c r="J72" s="79"/>
      <c r="K72" s="75"/>
      <c r="L72" s="79"/>
      <c r="M72" s="75"/>
      <c r="N72" s="79"/>
      <c r="O72" s="75"/>
      <c r="P72" s="79"/>
      <c r="Q72" s="75"/>
      <c r="R72" s="79"/>
      <c r="S72" s="75"/>
      <c r="T72" s="79"/>
      <c r="U72" s="75"/>
    </row>
    <row r="73" spans="1:25" s="67" customFormat="1" x14ac:dyDescent="0.2">
      <c r="A73" s="1"/>
      <c r="B73" s="80"/>
      <c r="C73" s="80"/>
    </row>
    <row r="74" spans="1:25" s="67" customFormat="1" x14ac:dyDescent="0.2">
      <c r="A74" s="1"/>
      <c r="B74" s="80"/>
      <c r="C74" s="80"/>
    </row>
    <row r="75" spans="1:25" s="67" customFormat="1" x14ac:dyDescent="0.2">
      <c r="A75" s="1"/>
      <c r="B75" s="80"/>
      <c r="C75" s="80"/>
    </row>
    <row r="76" spans="1:25" s="67" customFormat="1" x14ac:dyDescent="0.2">
      <c r="A76" s="1"/>
      <c r="B76" s="80"/>
      <c r="C76" s="80"/>
    </row>
    <row r="77" spans="1:25" s="67" customFormat="1" x14ac:dyDescent="0.2">
      <c r="A77" s="1"/>
      <c r="B77" s="80"/>
      <c r="C77" s="80"/>
    </row>
    <row r="78" spans="1:25" s="67" customFormat="1" x14ac:dyDescent="0.2">
      <c r="A78" s="1"/>
    </row>
    <row r="79" spans="1:25" s="67" customFormat="1" x14ac:dyDescent="0.2">
      <c r="A79" s="1"/>
    </row>
    <row r="80" spans="1:25" s="67" customFormat="1" x14ac:dyDescent="0.2">
      <c r="A80" s="1"/>
    </row>
    <row r="81" spans="1:1" s="67" customFormat="1" x14ac:dyDescent="0.2">
      <c r="A81" s="1"/>
    </row>
    <row r="82" spans="1:1" s="67" customFormat="1" x14ac:dyDescent="0.2">
      <c r="A82" s="1"/>
    </row>
    <row r="83" spans="1:1" s="67" customFormat="1" x14ac:dyDescent="0.2">
      <c r="A83" s="1"/>
    </row>
    <row r="84" spans="1:1" s="67" customFormat="1" x14ac:dyDescent="0.2">
      <c r="A84" s="1"/>
    </row>
    <row r="85" spans="1:1" s="67" customFormat="1" x14ac:dyDescent="0.2">
      <c r="A85" s="1"/>
    </row>
    <row r="86" spans="1:1" s="67" customFormat="1" x14ac:dyDescent="0.2">
      <c r="A86" s="1"/>
    </row>
    <row r="87" spans="1:1" s="67" customFormat="1" x14ac:dyDescent="0.2">
      <c r="A87" s="1"/>
    </row>
    <row r="88" spans="1:1" s="67" customFormat="1" x14ac:dyDescent="0.2">
      <c r="A88" s="1"/>
    </row>
    <row r="89" spans="1:1" s="67" customFormat="1" x14ac:dyDescent="0.2">
      <c r="A89" s="1"/>
    </row>
    <row r="90" spans="1:1" s="67" customFormat="1" x14ac:dyDescent="0.2">
      <c r="A90" s="1"/>
    </row>
    <row r="91" spans="1:1" s="67" customFormat="1" x14ac:dyDescent="0.2">
      <c r="A91" s="1"/>
    </row>
    <row r="92" spans="1:1" s="67" customFormat="1" x14ac:dyDescent="0.2">
      <c r="A92" s="1"/>
    </row>
    <row r="93" spans="1:1" s="67" customFormat="1" x14ac:dyDescent="0.2">
      <c r="A93" s="1"/>
    </row>
    <row r="94" spans="1:1" s="67" customFormat="1" x14ac:dyDescent="0.2">
      <c r="A94" s="1"/>
    </row>
    <row r="95" spans="1:1" s="67" customFormat="1" x14ac:dyDescent="0.2">
      <c r="A95" s="1"/>
    </row>
    <row r="96" spans="1:1" s="67" customFormat="1" x14ac:dyDescent="0.2">
      <c r="A96" s="1"/>
    </row>
  </sheetData>
  <mergeCells count="10">
    <mergeCell ref="B1:C1"/>
    <mergeCell ref="D1:E1"/>
    <mergeCell ref="H1:I1"/>
    <mergeCell ref="J1:K1"/>
    <mergeCell ref="T1:U1"/>
    <mergeCell ref="F1:G1"/>
    <mergeCell ref="L1:M1"/>
    <mergeCell ref="N1:O1"/>
    <mergeCell ref="P1:Q1"/>
    <mergeCell ref="R1:S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23"/>
  </sheetPr>
  <dimension ref="A1:Y77"/>
  <sheetViews>
    <sheetView showGridLines="0" showZeros="0" zoomScaleNormal="100" workbookViewId="0">
      <pane ySplit="2" topLeftCell="A44" activePane="bottomLeft" state="frozen"/>
      <selection activeCell="K87" sqref="K87"/>
      <selection pane="bottomLeft" activeCell="H63" sqref="H63"/>
    </sheetView>
  </sheetViews>
  <sheetFormatPr defaultColWidth="8.85546875" defaultRowHeight="12.75" x14ac:dyDescent="0.2"/>
  <cols>
    <col min="1" max="1" width="5.85546875" style="1" customWidth="1"/>
    <col min="2" max="2" width="7.5703125" style="88" customWidth="1"/>
    <col min="3" max="3" width="7.5703125" style="17" customWidth="1"/>
    <col min="4" max="4" width="7.5703125" style="70" customWidth="1"/>
    <col min="5" max="5" width="7.5703125" style="7" customWidth="1"/>
    <col min="6" max="6" width="7.5703125" style="70" customWidth="1"/>
    <col min="7" max="7" width="7.5703125" style="71" customWidth="1"/>
    <col min="8" max="8" width="7.5703125" style="70" customWidth="1"/>
    <col min="9" max="9" width="7.5703125" style="7" customWidth="1"/>
    <col min="10" max="10" width="7.5703125" style="70" customWidth="1"/>
    <col min="11" max="11" width="7.5703125" style="71" customWidth="1"/>
    <col min="12" max="12" width="6.5703125" style="70" customWidth="1"/>
    <col min="13" max="13" width="2" style="7" customWidth="1"/>
    <col min="14" max="14" width="9.5703125" style="7" customWidth="1"/>
    <col min="15" max="15" width="7.5703125" style="70" customWidth="1"/>
    <col min="16" max="16" width="7.5703125" style="29" customWidth="1"/>
    <col min="17" max="17" width="7.5703125" style="70" customWidth="1"/>
    <col min="18" max="19" width="7.5703125" style="7" customWidth="1"/>
    <col min="20" max="20" width="7.5703125" style="29" customWidth="1"/>
    <col min="21" max="22" width="7.5703125" style="7" customWidth="1"/>
  </cols>
  <sheetData>
    <row r="1" spans="1:22" s="6" customFormat="1" ht="20.25" customHeight="1" x14ac:dyDescent="0.2">
      <c r="A1" s="16"/>
      <c r="B1" s="434" t="s">
        <v>4</v>
      </c>
      <c r="C1" s="435"/>
      <c r="D1" s="435"/>
      <c r="E1" s="437"/>
      <c r="F1" s="434" t="s">
        <v>5</v>
      </c>
      <c r="G1" s="435"/>
      <c r="H1" s="435"/>
      <c r="I1" s="437"/>
      <c r="J1" s="434" t="s">
        <v>6</v>
      </c>
      <c r="K1" s="435"/>
      <c r="L1" s="435"/>
      <c r="M1" s="435"/>
      <c r="N1" s="437"/>
      <c r="O1" s="434" t="s">
        <v>7</v>
      </c>
      <c r="P1" s="435"/>
      <c r="Q1" s="435"/>
      <c r="R1" s="437"/>
      <c r="S1" s="434" t="s">
        <v>8</v>
      </c>
      <c r="T1" s="435"/>
      <c r="U1" s="435"/>
      <c r="V1" s="436"/>
    </row>
    <row r="2" spans="1:22" s="2" customFormat="1" ht="25.5" customHeight="1" thickBot="1" x14ac:dyDescent="0.25">
      <c r="A2" s="96" t="s">
        <v>9</v>
      </c>
      <c r="B2" s="93" t="s">
        <v>46</v>
      </c>
      <c r="C2" s="96" t="s">
        <v>92</v>
      </c>
      <c r="D2" s="94" t="s">
        <v>47</v>
      </c>
      <c r="E2" s="96" t="s">
        <v>1</v>
      </c>
      <c r="F2" s="93" t="s">
        <v>46</v>
      </c>
      <c r="G2" s="96" t="s">
        <v>91</v>
      </c>
      <c r="H2" s="94" t="s">
        <v>47</v>
      </c>
      <c r="I2" s="100" t="s">
        <v>1</v>
      </c>
      <c r="J2" s="93" t="s">
        <v>46</v>
      </c>
      <c r="K2" s="96" t="s">
        <v>94</v>
      </c>
      <c r="L2" s="94" t="s">
        <v>47</v>
      </c>
      <c r="M2" s="95"/>
      <c r="N2" s="96" t="s">
        <v>1</v>
      </c>
      <c r="O2" s="93" t="s">
        <v>46</v>
      </c>
      <c r="P2" s="96" t="s">
        <v>93</v>
      </c>
      <c r="Q2" s="94" t="s">
        <v>47</v>
      </c>
      <c r="R2" s="96" t="s">
        <v>1</v>
      </c>
      <c r="S2" s="93" t="s">
        <v>46</v>
      </c>
      <c r="T2" s="96" t="s">
        <v>92</v>
      </c>
      <c r="U2" s="94" t="s">
        <v>47</v>
      </c>
      <c r="V2" s="94" t="s">
        <v>1</v>
      </c>
    </row>
    <row r="3" spans="1:22" ht="17.25" customHeight="1" thickTop="1" x14ac:dyDescent="0.2">
      <c r="A3" s="17">
        <v>1964</v>
      </c>
      <c r="B3" s="91"/>
      <c r="D3" s="54"/>
      <c r="E3" s="53"/>
      <c r="F3" s="51"/>
      <c r="G3" s="53"/>
      <c r="H3" s="54"/>
      <c r="I3" s="52"/>
      <c r="J3" s="51"/>
      <c r="K3" s="53"/>
      <c r="L3" s="53"/>
      <c r="M3" s="82"/>
      <c r="N3" s="53"/>
      <c r="O3" s="51"/>
      <c r="P3" s="54"/>
      <c r="Q3" s="54"/>
      <c r="R3" s="53"/>
      <c r="S3" s="51"/>
      <c r="T3" s="54"/>
      <c r="U3" s="54"/>
      <c r="V3" s="54"/>
    </row>
    <row r="4" spans="1:22" x14ac:dyDescent="0.2">
      <c r="A4" s="17">
        <v>1965</v>
      </c>
      <c r="B4" s="91"/>
      <c r="D4" s="54"/>
      <c r="E4" s="53"/>
      <c r="F4" s="51"/>
      <c r="G4" s="53"/>
      <c r="H4" s="54"/>
      <c r="I4" s="52"/>
      <c r="J4" s="51"/>
      <c r="K4" s="53"/>
      <c r="L4" s="53"/>
      <c r="M4" s="82"/>
      <c r="N4" s="53"/>
      <c r="O4" s="51"/>
      <c r="P4" s="54"/>
      <c r="Q4" s="54"/>
      <c r="R4" s="53"/>
      <c r="S4" s="51"/>
      <c r="T4" s="54"/>
      <c r="U4" s="54"/>
      <c r="V4" s="54"/>
    </row>
    <row r="5" spans="1:22" x14ac:dyDescent="0.2">
      <c r="A5" s="17">
        <v>1966</v>
      </c>
      <c r="B5" s="91"/>
      <c r="D5" s="54"/>
      <c r="E5" s="53"/>
      <c r="F5" s="51"/>
      <c r="G5" s="53"/>
      <c r="H5" s="54"/>
      <c r="I5" s="52"/>
      <c r="J5" s="51"/>
      <c r="K5" s="53"/>
      <c r="L5" s="53"/>
      <c r="M5" s="82"/>
      <c r="N5" s="53"/>
      <c r="O5" s="51"/>
      <c r="P5" s="54"/>
      <c r="Q5" s="54"/>
      <c r="R5" s="53"/>
      <c r="S5" s="51"/>
      <c r="T5" s="54"/>
      <c r="U5" s="54"/>
      <c r="V5" s="54"/>
    </row>
    <row r="6" spans="1:22" x14ac:dyDescent="0.2">
      <c r="A6" s="17">
        <v>1967</v>
      </c>
      <c r="B6" s="91"/>
      <c r="D6" s="54"/>
      <c r="E6" s="53"/>
      <c r="F6" s="51"/>
      <c r="G6" s="53"/>
      <c r="H6" s="54"/>
      <c r="I6" s="52"/>
      <c r="J6" s="51"/>
      <c r="K6" s="53"/>
      <c r="L6" s="53"/>
      <c r="M6" s="82"/>
      <c r="N6" s="53"/>
      <c r="O6" s="51"/>
      <c r="P6" s="54"/>
      <c r="Q6" s="54"/>
      <c r="R6" s="53"/>
      <c r="S6" s="51"/>
      <c r="T6" s="54"/>
      <c r="U6" s="54"/>
      <c r="V6" s="54"/>
    </row>
    <row r="7" spans="1:22" x14ac:dyDescent="0.2">
      <c r="A7" s="17">
        <v>1968</v>
      </c>
      <c r="B7" s="91"/>
      <c r="D7" s="54"/>
      <c r="E7" s="53"/>
      <c r="F7" s="51"/>
      <c r="G7" s="53"/>
      <c r="H7" s="54"/>
      <c r="I7" s="52"/>
      <c r="J7" s="51"/>
      <c r="K7" s="53"/>
      <c r="L7" s="53"/>
      <c r="M7" s="82"/>
      <c r="N7" s="53"/>
      <c r="O7" s="51"/>
      <c r="P7" s="54"/>
      <c r="Q7" s="54"/>
      <c r="R7" s="53"/>
      <c r="S7" s="51"/>
      <c r="T7" s="54"/>
      <c r="U7" s="54"/>
      <c r="V7" s="54"/>
    </row>
    <row r="8" spans="1:22" x14ac:dyDescent="0.2">
      <c r="A8" s="17">
        <v>1969</v>
      </c>
      <c r="B8" s="91"/>
      <c r="D8" s="54"/>
      <c r="E8" s="53"/>
      <c r="F8" s="51"/>
      <c r="G8" s="53"/>
      <c r="H8" s="54"/>
      <c r="I8" s="52"/>
      <c r="J8" s="51"/>
      <c r="K8" s="53"/>
      <c r="L8" s="53"/>
      <c r="M8" s="82"/>
      <c r="N8" s="53"/>
      <c r="O8" s="51"/>
      <c r="P8" s="54"/>
      <c r="Q8" s="54"/>
      <c r="R8" s="53"/>
      <c r="S8" s="51"/>
      <c r="T8" s="54"/>
      <c r="U8" s="54"/>
      <c r="V8" s="54"/>
    </row>
    <row r="9" spans="1:22" x14ac:dyDescent="0.2">
      <c r="A9" s="17">
        <v>1970</v>
      </c>
      <c r="B9" s="91"/>
      <c r="D9" s="54"/>
      <c r="E9" s="53"/>
      <c r="F9" s="51"/>
      <c r="G9" s="53"/>
      <c r="H9" s="54"/>
      <c r="I9" s="52"/>
      <c r="J9" s="51"/>
      <c r="K9" s="53"/>
      <c r="L9" s="53"/>
      <c r="M9" s="82"/>
      <c r="N9" s="53"/>
      <c r="O9" s="51"/>
      <c r="P9" s="54"/>
      <c r="Q9" s="54"/>
      <c r="R9" s="53"/>
      <c r="S9" s="51"/>
      <c r="T9" s="54"/>
      <c r="U9" s="54"/>
      <c r="V9" s="54"/>
    </row>
    <row r="10" spans="1:22" x14ac:dyDescent="0.2">
      <c r="A10" s="17">
        <v>1971</v>
      </c>
      <c r="B10" s="91"/>
      <c r="D10" s="54"/>
      <c r="E10" s="53"/>
      <c r="F10" s="51"/>
      <c r="G10" s="53"/>
      <c r="H10" s="54"/>
      <c r="I10" s="52"/>
      <c r="J10" s="51"/>
      <c r="K10" s="53"/>
      <c r="L10" s="53"/>
      <c r="M10" s="82"/>
      <c r="N10" s="53"/>
      <c r="O10" s="51"/>
      <c r="P10" s="54"/>
      <c r="Q10" s="54"/>
      <c r="R10" s="53"/>
      <c r="S10" s="51"/>
      <c r="T10" s="54"/>
      <c r="U10" s="54"/>
      <c r="V10" s="54"/>
    </row>
    <row r="11" spans="1:22" x14ac:dyDescent="0.2">
      <c r="A11" s="17">
        <v>1972</v>
      </c>
      <c r="B11" s="91"/>
      <c r="D11" s="54"/>
      <c r="E11" s="53"/>
      <c r="F11" s="51"/>
      <c r="G11" s="53"/>
      <c r="H11" s="54"/>
      <c r="I11" s="52"/>
      <c r="J11" s="51"/>
      <c r="K11" s="53"/>
      <c r="L11" s="53"/>
      <c r="M11" s="82"/>
      <c r="N11" s="53"/>
      <c r="O11" s="51"/>
      <c r="P11" s="54"/>
      <c r="Q11" s="54"/>
      <c r="R11" s="53"/>
      <c r="S11" s="51"/>
      <c r="T11" s="54"/>
      <c r="U11" s="54"/>
      <c r="V11" s="54"/>
    </row>
    <row r="12" spans="1:22" x14ac:dyDescent="0.2">
      <c r="A12" s="17">
        <v>1973</v>
      </c>
      <c r="B12" s="91"/>
      <c r="D12" s="54"/>
      <c r="E12" s="53"/>
      <c r="F12" s="51"/>
      <c r="G12" s="53"/>
      <c r="H12" s="54"/>
      <c r="I12" s="52"/>
      <c r="J12" s="51"/>
      <c r="K12" s="53"/>
      <c r="L12" s="53"/>
      <c r="M12" s="82"/>
      <c r="N12" s="53"/>
      <c r="O12" s="51"/>
      <c r="P12" s="54"/>
      <c r="Q12" s="54"/>
      <c r="R12" s="53"/>
      <c r="S12" s="51"/>
      <c r="T12" s="54"/>
      <c r="U12" s="54"/>
      <c r="V12" s="54"/>
    </row>
    <row r="13" spans="1:22" x14ac:dyDescent="0.2">
      <c r="A13" s="17">
        <v>1974</v>
      </c>
      <c r="B13" s="91"/>
      <c r="D13" s="54"/>
      <c r="E13" s="53"/>
      <c r="F13" s="51"/>
      <c r="G13" s="53"/>
      <c r="H13" s="54"/>
      <c r="I13" s="52"/>
      <c r="J13" s="51"/>
      <c r="K13" s="53"/>
      <c r="L13" s="53"/>
      <c r="M13" s="82"/>
      <c r="N13" s="53"/>
      <c r="O13" s="51"/>
      <c r="P13" s="54"/>
      <c r="Q13" s="54"/>
      <c r="R13" s="53"/>
      <c r="S13" s="51"/>
      <c r="T13" s="54"/>
      <c r="U13" s="54"/>
      <c r="V13" s="54"/>
    </row>
    <row r="14" spans="1:22" x14ac:dyDescent="0.2">
      <c r="A14" s="17">
        <v>1975</v>
      </c>
      <c r="B14" s="91"/>
      <c r="D14" s="54"/>
      <c r="E14" s="53"/>
      <c r="F14" s="51"/>
      <c r="G14" s="53"/>
      <c r="H14" s="54"/>
      <c r="I14" s="52"/>
      <c r="J14" s="51"/>
      <c r="K14" s="53"/>
      <c r="L14" s="53"/>
      <c r="M14" s="82"/>
      <c r="N14" s="53"/>
      <c r="O14" s="51"/>
      <c r="P14" s="54"/>
      <c r="Q14" s="54"/>
      <c r="R14" s="53"/>
      <c r="S14" s="51"/>
      <c r="T14" s="54"/>
      <c r="U14" s="54"/>
      <c r="V14" s="54"/>
    </row>
    <row r="15" spans="1:22" x14ac:dyDescent="0.2">
      <c r="A15" s="17">
        <v>1976</v>
      </c>
      <c r="B15" s="91"/>
      <c r="D15" s="54"/>
      <c r="E15" s="53"/>
      <c r="F15" s="51"/>
      <c r="G15" s="53"/>
      <c r="H15" s="54"/>
      <c r="I15" s="52"/>
      <c r="J15" s="51"/>
      <c r="K15" s="53"/>
      <c r="L15" s="53"/>
      <c r="M15" s="82"/>
      <c r="N15" s="53"/>
      <c r="O15" s="51"/>
      <c r="P15" s="54"/>
      <c r="Q15" s="54"/>
      <c r="R15" s="53"/>
      <c r="S15" s="51"/>
      <c r="T15" s="54"/>
      <c r="U15" s="54"/>
      <c r="V15" s="54"/>
    </row>
    <row r="16" spans="1:22" x14ac:dyDescent="0.2">
      <c r="A16" s="17">
        <v>1977</v>
      </c>
      <c r="B16" s="91"/>
      <c r="D16" s="54"/>
      <c r="E16" s="53"/>
      <c r="F16" s="51"/>
      <c r="G16" s="53"/>
      <c r="H16" s="54"/>
      <c r="I16" s="52"/>
      <c r="J16" s="51"/>
      <c r="K16" s="53"/>
      <c r="L16" s="53"/>
      <c r="M16" s="82"/>
      <c r="N16" s="53"/>
      <c r="O16" s="51"/>
      <c r="P16" s="54"/>
      <c r="Q16" s="54"/>
      <c r="R16" s="53"/>
      <c r="S16" s="51"/>
      <c r="T16" s="54"/>
      <c r="U16" s="54"/>
      <c r="V16" s="54"/>
    </row>
    <row r="17" spans="1:22" x14ac:dyDescent="0.2">
      <c r="A17" s="17">
        <v>1978</v>
      </c>
      <c r="B17" s="91"/>
      <c r="D17" s="54"/>
      <c r="E17" s="53"/>
      <c r="F17" s="51"/>
      <c r="G17" s="53"/>
      <c r="H17" s="54"/>
      <c r="I17" s="52"/>
      <c r="J17" s="51"/>
      <c r="K17" s="53"/>
      <c r="L17" s="53"/>
      <c r="M17" s="82"/>
      <c r="N17" s="53"/>
      <c r="O17" s="51"/>
      <c r="P17" s="54"/>
      <c r="Q17" s="54"/>
      <c r="R17" s="53"/>
      <c r="S17" s="171"/>
      <c r="T17" s="142"/>
      <c r="U17" s="54"/>
      <c r="V17" s="54"/>
    </row>
    <row r="18" spans="1:22" x14ac:dyDescent="0.2">
      <c r="A18" s="17">
        <v>1979</v>
      </c>
      <c r="B18" s="91"/>
      <c r="D18" s="54"/>
      <c r="E18" s="53"/>
      <c r="F18" s="51"/>
      <c r="G18" s="53"/>
      <c r="H18" s="54"/>
      <c r="I18" s="52"/>
      <c r="J18" s="51"/>
      <c r="K18" s="53"/>
      <c r="L18" s="53"/>
      <c r="M18" s="82"/>
      <c r="N18" s="53"/>
      <c r="O18" s="51"/>
      <c r="P18" s="54"/>
      <c r="Q18" s="54"/>
      <c r="R18" s="53"/>
      <c r="S18" s="171"/>
      <c r="T18" s="142"/>
      <c r="U18" s="54"/>
      <c r="V18" s="54"/>
    </row>
    <row r="19" spans="1:22" x14ac:dyDescent="0.2">
      <c r="A19" s="17">
        <v>1980</v>
      </c>
      <c r="B19" s="91"/>
      <c r="D19" s="54"/>
      <c r="E19" s="53"/>
      <c r="F19" s="51"/>
      <c r="G19" s="53"/>
      <c r="H19" s="54"/>
      <c r="I19" s="52"/>
      <c r="J19" s="51"/>
      <c r="K19" s="53"/>
      <c r="L19" s="53"/>
      <c r="M19" s="82"/>
      <c r="N19" s="53"/>
      <c r="O19" s="51"/>
      <c r="P19" s="54"/>
      <c r="Q19" s="54"/>
      <c r="R19" s="53"/>
      <c r="S19" s="171"/>
      <c r="T19" s="142"/>
      <c r="U19" s="54"/>
      <c r="V19" s="54"/>
    </row>
    <row r="20" spans="1:22" x14ac:dyDescent="0.2">
      <c r="A20" s="17">
        <v>1981</v>
      </c>
      <c r="B20" s="91"/>
      <c r="D20" s="54">
        <v>27</v>
      </c>
      <c r="E20" s="53">
        <f t="shared" ref="E20:E56" si="0">E19+D20</f>
        <v>27</v>
      </c>
      <c r="F20" s="51"/>
      <c r="G20" s="53"/>
      <c r="H20" s="54">
        <v>32</v>
      </c>
      <c r="I20" s="52">
        <f>I19+H20</f>
        <v>32</v>
      </c>
      <c r="J20" s="51"/>
      <c r="K20" s="53"/>
      <c r="L20" s="53">
        <v>30</v>
      </c>
      <c r="M20" s="82"/>
      <c r="N20" s="53">
        <f>N19+L20</f>
        <v>30</v>
      </c>
      <c r="O20" s="51"/>
      <c r="P20" s="54"/>
      <c r="Q20" s="54">
        <v>21</v>
      </c>
      <c r="R20" s="53">
        <f>R19+Q20</f>
        <v>21</v>
      </c>
      <c r="S20" s="417"/>
      <c r="T20" s="419"/>
      <c r="U20" s="54">
        <f t="shared" ref="U20:U51" si="1">D20+H20+L20+Q20</f>
        <v>110</v>
      </c>
      <c r="V20" s="54">
        <f>V19+U20</f>
        <v>110</v>
      </c>
    </row>
    <row r="21" spans="1:22" x14ac:dyDescent="0.2">
      <c r="A21" s="17">
        <v>1982</v>
      </c>
      <c r="B21" s="91"/>
      <c r="D21" s="54">
        <v>29</v>
      </c>
      <c r="E21" s="53">
        <f t="shared" si="0"/>
        <v>56</v>
      </c>
      <c r="F21" s="51"/>
      <c r="G21" s="53"/>
      <c r="H21" s="54">
        <v>34</v>
      </c>
      <c r="I21" s="52">
        <f t="shared" ref="I21:I44" si="2">I20+H21</f>
        <v>66</v>
      </c>
      <c r="J21" s="51"/>
      <c r="K21" s="53"/>
      <c r="L21" s="53">
        <v>33</v>
      </c>
      <c r="M21" s="82"/>
      <c r="N21" s="53">
        <f t="shared" ref="N21:N44" si="3">N20+L21</f>
        <v>63</v>
      </c>
      <c r="O21" s="51"/>
      <c r="P21" s="54"/>
      <c r="Q21" s="54">
        <v>12</v>
      </c>
      <c r="R21" s="53">
        <f t="shared" ref="R21:R44" si="4">R20+Q21</f>
        <v>33</v>
      </c>
      <c r="S21" s="417"/>
      <c r="T21" s="419"/>
      <c r="U21" s="54">
        <f t="shared" si="1"/>
        <v>108</v>
      </c>
      <c r="V21" s="54">
        <f t="shared" ref="V21:V44" si="5">V20+U21</f>
        <v>218</v>
      </c>
    </row>
    <row r="22" spans="1:22" x14ac:dyDescent="0.2">
      <c r="A22" s="17">
        <v>1983</v>
      </c>
      <c r="B22" s="91"/>
      <c r="D22" s="54">
        <v>33</v>
      </c>
      <c r="E22" s="53">
        <f t="shared" si="0"/>
        <v>89</v>
      </c>
      <c r="F22" s="51"/>
      <c r="G22" s="53"/>
      <c r="H22" s="54">
        <v>29</v>
      </c>
      <c r="I22" s="52">
        <f t="shared" si="2"/>
        <v>95</v>
      </c>
      <c r="J22" s="51"/>
      <c r="K22" s="53"/>
      <c r="L22" s="53">
        <v>35</v>
      </c>
      <c r="M22" s="82"/>
      <c r="N22" s="53">
        <f t="shared" si="3"/>
        <v>98</v>
      </c>
      <c r="O22" s="51"/>
      <c r="P22" s="54"/>
      <c r="Q22" s="54">
        <v>13</v>
      </c>
      <c r="R22" s="53">
        <f t="shared" si="4"/>
        <v>46</v>
      </c>
      <c r="S22" s="417"/>
      <c r="T22" s="419"/>
      <c r="U22" s="54">
        <f t="shared" si="1"/>
        <v>110</v>
      </c>
      <c r="V22" s="54">
        <f t="shared" si="5"/>
        <v>328</v>
      </c>
    </row>
    <row r="23" spans="1:22" x14ac:dyDescent="0.2">
      <c r="A23" s="17">
        <v>1984</v>
      </c>
      <c r="B23" s="91"/>
      <c r="D23" s="54">
        <v>40</v>
      </c>
      <c r="E23" s="53">
        <f t="shared" si="0"/>
        <v>129</v>
      </c>
      <c r="F23" s="51"/>
      <c r="G23" s="53"/>
      <c r="H23" s="54">
        <v>39</v>
      </c>
      <c r="I23" s="52">
        <f t="shared" si="2"/>
        <v>134</v>
      </c>
      <c r="J23" s="51"/>
      <c r="K23" s="53"/>
      <c r="L23" s="53">
        <v>45</v>
      </c>
      <c r="M23" s="82"/>
      <c r="N23" s="53">
        <f t="shared" si="3"/>
        <v>143</v>
      </c>
      <c r="O23" s="51"/>
      <c r="P23" s="54"/>
      <c r="Q23" s="54">
        <v>25</v>
      </c>
      <c r="R23" s="53">
        <f t="shared" si="4"/>
        <v>71</v>
      </c>
      <c r="S23" s="417"/>
      <c r="T23" s="419"/>
      <c r="U23" s="54">
        <f t="shared" si="1"/>
        <v>149</v>
      </c>
      <c r="V23" s="54">
        <f t="shared" si="5"/>
        <v>477</v>
      </c>
    </row>
    <row r="24" spans="1:22" x14ac:dyDescent="0.2">
      <c r="A24" s="17">
        <v>1985</v>
      </c>
      <c r="B24" s="91"/>
      <c r="D24" s="54">
        <v>37</v>
      </c>
      <c r="E24" s="53">
        <f t="shared" si="0"/>
        <v>166</v>
      </c>
      <c r="F24" s="51"/>
      <c r="G24" s="53"/>
      <c r="H24" s="54">
        <v>30</v>
      </c>
      <c r="I24" s="52">
        <f t="shared" si="2"/>
        <v>164</v>
      </c>
      <c r="J24" s="51"/>
      <c r="K24" s="53"/>
      <c r="L24" s="53">
        <v>44</v>
      </c>
      <c r="M24" s="82"/>
      <c r="N24" s="53">
        <f t="shared" si="3"/>
        <v>187</v>
      </c>
      <c r="O24" s="51"/>
      <c r="P24" s="54"/>
      <c r="Q24" s="54">
        <v>19</v>
      </c>
      <c r="R24" s="53">
        <f t="shared" si="4"/>
        <v>90</v>
      </c>
      <c r="S24" s="417"/>
      <c r="T24" s="419"/>
      <c r="U24" s="54">
        <f t="shared" si="1"/>
        <v>130</v>
      </c>
      <c r="V24" s="54">
        <f t="shared" si="5"/>
        <v>607</v>
      </c>
    </row>
    <row r="25" spans="1:22" x14ac:dyDescent="0.2">
      <c r="A25" s="17">
        <v>1986</v>
      </c>
      <c r="B25" s="91"/>
      <c r="D25" s="54">
        <v>36</v>
      </c>
      <c r="E25" s="53">
        <f t="shared" si="0"/>
        <v>202</v>
      </c>
      <c r="F25" s="51"/>
      <c r="G25" s="53"/>
      <c r="H25" s="54">
        <v>29</v>
      </c>
      <c r="I25" s="52">
        <f t="shared" si="2"/>
        <v>193</v>
      </c>
      <c r="J25" s="51"/>
      <c r="K25" s="53"/>
      <c r="L25" s="53">
        <v>69</v>
      </c>
      <c r="M25" s="82"/>
      <c r="N25" s="53">
        <f t="shared" si="3"/>
        <v>256</v>
      </c>
      <c r="O25" s="51"/>
      <c r="P25" s="54"/>
      <c r="Q25" s="54">
        <v>18</v>
      </c>
      <c r="R25" s="53">
        <f t="shared" si="4"/>
        <v>108</v>
      </c>
      <c r="S25" s="417"/>
      <c r="T25" s="419"/>
      <c r="U25" s="54">
        <f t="shared" si="1"/>
        <v>152</v>
      </c>
      <c r="V25" s="54">
        <f t="shared" si="5"/>
        <v>759</v>
      </c>
    </row>
    <row r="26" spans="1:22" x14ac:dyDescent="0.2">
      <c r="A26" s="17">
        <v>1987</v>
      </c>
      <c r="B26" s="91"/>
      <c r="D26" s="54">
        <v>34</v>
      </c>
      <c r="E26" s="53">
        <f t="shared" si="0"/>
        <v>236</v>
      </c>
      <c r="F26" s="51"/>
      <c r="G26" s="53"/>
      <c r="H26" s="54">
        <v>33</v>
      </c>
      <c r="I26" s="52">
        <f t="shared" si="2"/>
        <v>226</v>
      </c>
      <c r="J26" s="51"/>
      <c r="K26" s="53"/>
      <c r="L26" s="53">
        <v>50</v>
      </c>
      <c r="M26" s="82"/>
      <c r="N26" s="53">
        <f t="shared" si="3"/>
        <v>306</v>
      </c>
      <c r="O26" s="51"/>
      <c r="P26" s="54"/>
      <c r="Q26" s="54">
        <v>30</v>
      </c>
      <c r="R26" s="53">
        <f t="shared" si="4"/>
        <v>138</v>
      </c>
      <c r="S26" s="417"/>
      <c r="T26" s="419"/>
      <c r="U26" s="54">
        <f t="shared" si="1"/>
        <v>147</v>
      </c>
      <c r="V26" s="54">
        <f t="shared" si="5"/>
        <v>906</v>
      </c>
    </row>
    <row r="27" spans="1:22" x14ac:dyDescent="0.2">
      <c r="A27" s="17">
        <v>1988</v>
      </c>
      <c r="B27" s="91"/>
      <c r="D27" s="54">
        <v>29</v>
      </c>
      <c r="E27" s="53">
        <f t="shared" si="0"/>
        <v>265</v>
      </c>
      <c r="F27" s="51"/>
      <c r="G27" s="53"/>
      <c r="H27" s="54">
        <v>33</v>
      </c>
      <c r="I27" s="52">
        <f t="shared" si="2"/>
        <v>259</v>
      </c>
      <c r="J27" s="51"/>
      <c r="K27" s="53"/>
      <c r="L27" s="53">
        <v>54</v>
      </c>
      <c r="M27" s="82"/>
      <c r="N27" s="53">
        <f t="shared" si="3"/>
        <v>360</v>
      </c>
      <c r="O27" s="51"/>
      <c r="P27" s="54"/>
      <c r="Q27" s="54">
        <v>20</v>
      </c>
      <c r="R27" s="53">
        <f t="shared" si="4"/>
        <v>158</v>
      </c>
      <c r="S27" s="417"/>
      <c r="T27" s="419"/>
      <c r="U27" s="54">
        <f t="shared" si="1"/>
        <v>136</v>
      </c>
      <c r="V27" s="54">
        <f t="shared" si="5"/>
        <v>1042</v>
      </c>
    </row>
    <row r="28" spans="1:22" x14ac:dyDescent="0.2">
      <c r="A28" s="17">
        <v>1989</v>
      </c>
      <c r="B28" s="91"/>
      <c r="D28" s="54">
        <v>39</v>
      </c>
      <c r="E28" s="53">
        <f t="shared" si="0"/>
        <v>304</v>
      </c>
      <c r="F28" s="51"/>
      <c r="G28" s="53"/>
      <c r="H28" s="54">
        <v>30</v>
      </c>
      <c r="I28" s="52">
        <f t="shared" si="2"/>
        <v>289</v>
      </c>
      <c r="J28" s="51"/>
      <c r="K28" s="53"/>
      <c r="L28" s="53">
        <v>53</v>
      </c>
      <c r="M28" s="82"/>
      <c r="N28" s="53">
        <f t="shared" si="3"/>
        <v>413</v>
      </c>
      <c r="O28" s="51"/>
      <c r="P28" s="54"/>
      <c r="Q28" s="54">
        <v>30</v>
      </c>
      <c r="R28" s="53">
        <f t="shared" si="4"/>
        <v>188</v>
      </c>
      <c r="S28" s="417"/>
      <c r="T28" s="419"/>
      <c r="U28" s="54">
        <f t="shared" si="1"/>
        <v>152</v>
      </c>
      <c r="V28" s="54">
        <f t="shared" si="5"/>
        <v>1194</v>
      </c>
    </row>
    <row r="29" spans="1:22" x14ac:dyDescent="0.2">
      <c r="A29" s="17">
        <v>1990</v>
      </c>
      <c r="B29" s="91"/>
      <c r="D29" s="54">
        <v>33</v>
      </c>
      <c r="E29" s="53">
        <f t="shared" si="0"/>
        <v>337</v>
      </c>
      <c r="F29" s="51"/>
      <c r="G29" s="53"/>
      <c r="H29" s="54">
        <v>32</v>
      </c>
      <c r="I29" s="52">
        <f t="shared" si="2"/>
        <v>321</v>
      </c>
      <c r="J29" s="51"/>
      <c r="K29" s="53"/>
      <c r="L29" s="53">
        <v>42</v>
      </c>
      <c r="M29" s="82"/>
      <c r="N29" s="53">
        <f t="shared" si="3"/>
        <v>455</v>
      </c>
      <c r="O29" s="51"/>
      <c r="P29" s="54"/>
      <c r="Q29" s="54">
        <v>21</v>
      </c>
      <c r="R29" s="53">
        <f t="shared" si="4"/>
        <v>209</v>
      </c>
      <c r="S29" s="417"/>
      <c r="T29" s="419"/>
      <c r="U29" s="54">
        <f t="shared" si="1"/>
        <v>128</v>
      </c>
      <c r="V29" s="54">
        <f t="shared" si="5"/>
        <v>1322</v>
      </c>
    </row>
    <row r="30" spans="1:22" x14ac:dyDescent="0.2">
      <c r="A30" s="17">
        <v>1991</v>
      </c>
      <c r="B30" s="91"/>
      <c r="D30" s="54">
        <v>31</v>
      </c>
      <c r="E30" s="53">
        <f t="shared" si="0"/>
        <v>368</v>
      </c>
      <c r="F30" s="51"/>
      <c r="G30" s="53"/>
      <c r="H30" s="54">
        <v>29</v>
      </c>
      <c r="I30" s="52">
        <f t="shared" si="2"/>
        <v>350</v>
      </c>
      <c r="J30" s="51"/>
      <c r="K30" s="53"/>
      <c r="L30" s="53">
        <v>56</v>
      </c>
      <c r="M30" s="82"/>
      <c r="N30" s="53">
        <f t="shared" si="3"/>
        <v>511</v>
      </c>
      <c r="O30" s="51"/>
      <c r="P30" s="54"/>
      <c r="Q30" s="54">
        <v>21</v>
      </c>
      <c r="R30" s="53">
        <f t="shared" si="4"/>
        <v>230</v>
      </c>
      <c r="S30" s="417"/>
      <c r="T30" s="419"/>
      <c r="U30" s="54">
        <f t="shared" si="1"/>
        <v>137</v>
      </c>
      <c r="V30" s="54">
        <f t="shared" si="5"/>
        <v>1459</v>
      </c>
    </row>
    <row r="31" spans="1:22" x14ac:dyDescent="0.2">
      <c r="A31" s="17">
        <v>1992</v>
      </c>
      <c r="B31" s="91"/>
      <c r="D31" s="54">
        <v>28</v>
      </c>
      <c r="E31" s="53">
        <f t="shared" si="0"/>
        <v>396</v>
      </c>
      <c r="F31" s="51"/>
      <c r="G31" s="53"/>
      <c r="H31" s="54">
        <v>26</v>
      </c>
      <c r="I31" s="52">
        <f t="shared" si="2"/>
        <v>376</v>
      </c>
      <c r="J31" s="51"/>
      <c r="K31" s="53"/>
      <c r="L31" s="53">
        <v>56</v>
      </c>
      <c r="M31" s="82"/>
      <c r="N31" s="53">
        <f t="shared" si="3"/>
        <v>567</v>
      </c>
      <c r="O31" s="51"/>
      <c r="P31" s="54"/>
      <c r="Q31" s="54">
        <v>15</v>
      </c>
      <c r="R31" s="53">
        <f t="shared" si="4"/>
        <v>245</v>
      </c>
      <c r="S31" s="417"/>
      <c r="T31" s="419"/>
      <c r="U31" s="54">
        <f t="shared" si="1"/>
        <v>125</v>
      </c>
      <c r="V31" s="54">
        <f t="shared" si="5"/>
        <v>1584</v>
      </c>
    </row>
    <row r="32" spans="1:22" x14ac:dyDescent="0.2">
      <c r="A32" s="17">
        <v>1993</v>
      </c>
      <c r="B32" s="91"/>
      <c r="D32" s="54">
        <v>38</v>
      </c>
      <c r="E32" s="53">
        <f t="shared" si="0"/>
        <v>434</v>
      </c>
      <c r="F32" s="51"/>
      <c r="G32" s="53"/>
      <c r="H32" s="54">
        <v>23</v>
      </c>
      <c r="I32" s="52">
        <f t="shared" si="2"/>
        <v>399</v>
      </c>
      <c r="J32" s="51"/>
      <c r="K32" s="53"/>
      <c r="L32" s="53">
        <v>43</v>
      </c>
      <c r="M32" s="87" t="s">
        <v>20</v>
      </c>
      <c r="N32" s="53">
        <f t="shared" si="3"/>
        <v>610</v>
      </c>
      <c r="O32" s="51"/>
      <c r="P32" s="54"/>
      <c r="Q32" s="54">
        <v>20</v>
      </c>
      <c r="R32" s="53">
        <f t="shared" si="4"/>
        <v>265</v>
      </c>
      <c r="S32" s="417"/>
      <c r="T32" s="419"/>
      <c r="U32" s="54">
        <f t="shared" si="1"/>
        <v>124</v>
      </c>
      <c r="V32" s="54">
        <f t="shared" si="5"/>
        <v>1708</v>
      </c>
    </row>
    <row r="33" spans="1:25" x14ac:dyDescent="0.2">
      <c r="A33" s="17">
        <v>1994</v>
      </c>
      <c r="B33" s="91"/>
      <c r="D33" s="54">
        <v>20</v>
      </c>
      <c r="E33" s="53">
        <f t="shared" si="0"/>
        <v>454</v>
      </c>
      <c r="F33" s="51"/>
      <c r="G33" s="53"/>
      <c r="H33" s="54">
        <v>23</v>
      </c>
      <c r="I33" s="52">
        <f t="shared" si="2"/>
        <v>422</v>
      </c>
      <c r="J33" s="51"/>
      <c r="K33" s="53"/>
      <c r="L33" s="53">
        <v>43</v>
      </c>
      <c r="M33" s="87" t="s">
        <v>21</v>
      </c>
      <c r="N33" s="53">
        <f t="shared" si="3"/>
        <v>653</v>
      </c>
      <c r="O33" s="51"/>
      <c r="P33" s="54"/>
      <c r="Q33" s="54">
        <v>22</v>
      </c>
      <c r="R33" s="53">
        <f t="shared" si="4"/>
        <v>287</v>
      </c>
      <c r="S33" s="417"/>
      <c r="T33" s="419"/>
      <c r="U33" s="54">
        <f t="shared" si="1"/>
        <v>108</v>
      </c>
      <c r="V33" s="54">
        <f t="shared" si="5"/>
        <v>1816</v>
      </c>
    </row>
    <row r="34" spans="1:25" x14ac:dyDescent="0.2">
      <c r="A34" s="17">
        <v>1995</v>
      </c>
      <c r="B34" s="91"/>
      <c r="D34" s="54">
        <v>20</v>
      </c>
      <c r="E34" s="53">
        <f t="shared" si="0"/>
        <v>474</v>
      </c>
      <c r="F34" s="51"/>
      <c r="G34" s="53"/>
      <c r="H34" s="54">
        <v>20</v>
      </c>
      <c r="I34" s="52">
        <f t="shared" si="2"/>
        <v>442</v>
      </c>
      <c r="J34" s="51"/>
      <c r="K34" s="53"/>
      <c r="L34" s="53">
        <v>43</v>
      </c>
      <c r="M34" s="87" t="s">
        <v>21</v>
      </c>
      <c r="N34" s="53">
        <f t="shared" si="3"/>
        <v>696</v>
      </c>
      <c r="O34" s="51"/>
      <c r="P34" s="54"/>
      <c r="Q34" s="54">
        <v>21</v>
      </c>
      <c r="R34" s="53">
        <f t="shared" si="4"/>
        <v>308</v>
      </c>
      <c r="S34" s="417"/>
      <c r="T34" s="419"/>
      <c r="U34" s="54">
        <f t="shared" si="1"/>
        <v>104</v>
      </c>
      <c r="V34" s="54">
        <f t="shared" si="5"/>
        <v>1920</v>
      </c>
    </row>
    <row r="35" spans="1:25" x14ac:dyDescent="0.2">
      <c r="A35" s="17">
        <v>1996</v>
      </c>
      <c r="B35" s="91"/>
      <c r="D35" s="54">
        <v>23</v>
      </c>
      <c r="E35" s="53">
        <f t="shared" si="0"/>
        <v>497</v>
      </c>
      <c r="F35" s="51"/>
      <c r="G35" s="53"/>
      <c r="H35" s="54">
        <v>19</v>
      </c>
      <c r="I35" s="52">
        <f t="shared" si="2"/>
        <v>461</v>
      </c>
      <c r="J35" s="51"/>
      <c r="K35" s="53"/>
      <c r="L35" s="53">
        <v>46</v>
      </c>
      <c r="M35" s="87" t="s">
        <v>21</v>
      </c>
      <c r="N35" s="53">
        <f t="shared" si="3"/>
        <v>742</v>
      </c>
      <c r="O35" s="51"/>
      <c r="P35" s="54"/>
      <c r="Q35" s="54">
        <v>11</v>
      </c>
      <c r="R35" s="53">
        <f t="shared" si="4"/>
        <v>319</v>
      </c>
      <c r="S35" s="417"/>
      <c r="T35" s="419"/>
      <c r="U35" s="54">
        <f t="shared" si="1"/>
        <v>99</v>
      </c>
      <c r="V35" s="54">
        <f t="shared" si="5"/>
        <v>2019</v>
      </c>
    </row>
    <row r="36" spans="1:25" x14ac:dyDescent="0.2">
      <c r="A36" s="17">
        <v>1997</v>
      </c>
      <c r="B36" s="91"/>
      <c r="D36" s="54">
        <v>29</v>
      </c>
      <c r="E36" s="53">
        <f t="shared" si="0"/>
        <v>526</v>
      </c>
      <c r="F36" s="51"/>
      <c r="G36" s="53"/>
      <c r="H36" s="54">
        <v>24</v>
      </c>
      <c r="I36" s="52">
        <f>I35+H36</f>
        <v>485</v>
      </c>
      <c r="J36" s="51"/>
      <c r="K36" s="53"/>
      <c r="L36" s="53">
        <v>42</v>
      </c>
      <c r="M36" s="82"/>
      <c r="N36" s="53">
        <f t="shared" si="3"/>
        <v>784</v>
      </c>
      <c r="O36" s="51"/>
      <c r="P36" s="54"/>
      <c r="Q36" s="54">
        <v>17</v>
      </c>
      <c r="R36" s="53">
        <f t="shared" si="4"/>
        <v>336</v>
      </c>
      <c r="S36" s="417"/>
      <c r="T36" s="419"/>
      <c r="U36" s="54">
        <f t="shared" si="1"/>
        <v>112</v>
      </c>
      <c r="V36" s="54">
        <f t="shared" si="5"/>
        <v>2131</v>
      </c>
    </row>
    <row r="37" spans="1:25" x14ac:dyDescent="0.2">
      <c r="A37" s="17">
        <v>1998</v>
      </c>
      <c r="B37" s="91"/>
      <c r="D37" s="54">
        <v>25</v>
      </c>
      <c r="E37" s="53">
        <f t="shared" si="0"/>
        <v>551</v>
      </c>
      <c r="F37" s="51"/>
      <c r="G37" s="53"/>
      <c r="H37" s="54">
        <v>30</v>
      </c>
      <c r="I37" s="52">
        <f t="shared" si="2"/>
        <v>515</v>
      </c>
      <c r="J37" s="51"/>
      <c r="K37" s="53"/>
      <c r="L37" s="53">
        <v>58</v>
      </c>
      <c r="M37" s="82"/>
      <c r="N37" s="53">
        <f t="shared" si="3"/>
        <v>842</v>
      </c>
      <c r="O37" s="51"/>
      <c r="P37" s="54"/>
      <c r="Q37" s="54">
        <v>16</v>
      </c>
      <c r="R37" s="53">
        <f t="shared" si="4"/>
        <v>352</v>
      </c>
      <c r="S37" s="417"/>
      <c r="T37" s="419"/>
      <c r="U37" s="54">
        <f t="shared" si="1"/>
        <v>129</v>
      </c>
      <c r="V37" s="54">
        <f t="shared" si="5"/>
        <v>2260</v>
      </c>
    </row>
    <row r="38" spans="1:25" x14ac:dyDescent="0.2">
      <c r="A38" s="18">
        <v>1999</v>
      </c>
      <c r="B38" s="92"/>
      <c r="C38" s="18"/>
      <c r="D38" s="58">
        <v>16</v>
      </c>
      <c r="E38" s="57">
        <f t="shared" si="0"/>
        <v>567</v>
      </c>
      <c r="F38" s="55"/>
      <c r="G38" s="57"/>
      <c r="H38" s="58">
        <v>23</v>
      </c>
      <c r="I38" s="56">
        <f t="shared" si="2"/>
        <v>538</v>
      </c>
      <c r="J38" s="55"/>
      <c r="K38" s="57"/>
      <c r="L38" s="57">
        <v>46</v>
      </c>
      <c r="M38" s="83"/>
      <c r="N38" s="57">
        <f t="shared" si="3"/>
        <v>888</v>
      </c>
      <c r="O38" s="55"/>
      <c r="P38" s="58"/>
      <c r="Q38" s="58">
        <v>23</v>
      </c>
      <c r="R38" s="57">
        <f t="shared" si="4"/>
        <v>375</v>
      </c>
      <c r="S38" s="418"/>
      <c r="T38" s="420"/>
      <c r="U38" s="58">
        <f t="shared" si="1"/>
        <v>108</v>
      </c>
      <c r="V38" s="58">
        <f t="shared" si="5"/>
        <v>2368</v>
      </c>
    </row>
    <row r="39" spans="1:25" s="7" customFormat="1" ht="17.25" customHeight="1" x14ac:dyDescent="0.2">
      <c r="A39" s="17">
        <v>2000</v>
      </c>
      <c r="B39" s="196"/>
      <c r="C39" s="405"/>
      <c r="D39" s="142">
        <v>23</v>
      </c>
      <c r="E39" s="134">
        <f t="shared" si="0"/>
        <v>590</v>
      </c>
      <c r="F39" s="196"/>
      <c r="G39" s="405"/>
      <c r="H39" s="142">
        <v>26</v>
      </c>
      <c r="I39" s="172">
        <f t="shared" si="2"/>
        <v>564</v>
      </c>
      <c r="J39" s="196"/>
      <c r="K39" s="405"/>
      <c r="L39" s="134">
        <v>34</v>
      </c>
      <c r="M39" s="197"/>
      <c r="N39" s="134">
        <f t="shared" si="3"/>
        <v>922</v>
      </c>
      <c r="O39" s="196"/>
      <c r="P39" s="416"/>
      <c r="Q39" s="142">
        <v>14</v>
      </c>
      <c r="R39" s="134">
        <f t="shared" si="4"/>
        <v>389</v>
      </c>
      <c r="S39" s="196"/>
      <c r="T39" s="416"/>
      <c r="U39" s="142">
        <f t="shared" si="1"/>
        <v>97</v>
      </c>
      <c r="V39" s="142">
        <f t="shared" si="5"/>
        <v>2465</v>
      </c>
    </row>
    <row r="40" spans="1:25" x14ac:dyDescent="0.2">
      <c r="A40" s="17">
        <v>2001</v>
      </c>
      <c r="B40" s="198"/>
      <c r="C40" s="200"/>
      <c r="D40" s="142">
        <v>20</v>
      </c>
      <c r="E40" s="134">
        <f t="shared" si="0"/>
        <v>610</v>
      </c>
      <c r="F40" s="196"/>
      <c r="G40" s="405"/>
      <c r="H40" s="142">
        <v>32</v>
      </c>
      <c r="I40" s="172">
        <f t="shared" si="2"/>
        <v>596</v>
      </c>
      <c r="J40" s="196"/>
      <c r="K40" s="405"/>
      <c r="L40" s="134">
        <v>39</v>
      </c>
      <c r="M40" s="197"/>
      <c r="N40" s="134">
        <f t="shared" si="3"/>
        <v>961</v>
      </c>
      <c r="O40" s="196"/>
      <c r="P40" s="416"/>
      <c r="Q40" s="142">
        <v>17</v>
      </c>
      <c r="R40" s="134">
        <f t="shared" si="4"/>
        <v>406</v>
      </c>
      <c r="S40" s="196"/>
      <c r="T40" s="416"/>
      <c r="U40" s="142">
        <f t="shared" si="1"/>
        <v>108</v>
      </c>
      <c r="V40" s="142">
        <f t="shared" si="5"/>
        <v>2573</v>
      </c>
    </row>
    <row r="41" spans="1:25" x14ac:dyDescent="0.2">
      <c r="A41" s="17">
        <v>2002</v>
      </c>
      <c r="B41" s="198"/>
      <c r="C41" s="200"/>
      <c r="D41" s="142">
        <v>21</v>
      </c>
      <c r="E41" s="134">
        <f t="shared" si="0"/>
        <v>631</v>
      </c>
      <c r="F41" s="196"/>
      <c r="G41" s="405"/>
      <c r="H41" s="142">
        <v>21</v>
      </c>
      <c r="I41" s="172">
        <f t="shared" si="2"/>
        <v>617</v>
      </c>
      <c r="J41" s="196"/>
      <c r="K41" s="405"/>
      <c r="L41" s="134">
        <v>36</v>
      </c>
      <c r="M41" s="197"/>
      <c r="N41" s="134">
        <f t="shared" si="3"/>
        <v>997</v>
      </c>
      <c r="O41" s="196"/>
      <c r="P41" s="416"/>
      <c r="Q41" s="142">
        <v>20</v>
      </c>
      <c r="R41" s="134">
        <f t="shared" si="4"/>
        <v>426</v>
      </c>
      <c r="S41" s="196"/>
      <c r="T41" s="416"/>
      <c r="U41" s="142">
        <f t="shared" si="1"/>
        <v>98</v>
      </c>
      <c r="V41" s="142">
        <f t="shared" si="5"/>
        <v>2671</v>
      </c>
    </row>
    <row r="42" spans="1:25" x14ac:dyDescent="0.2">
      <c r="A42" s="17">
        <v>2003</v>
      </c>
      <c r="B42" s="198"/>
      <c r="C42" s="200"/>
      <c r="D42" s="142">
        <v>22</v>
      </c>
      <c r="E42" s="134">
        <f t="shared" si="0"/>
        <v>653</v>
      </c>
      <c r="F42" s="196"/>
      <c r="G42" s="405"/>
      <c r="H42" s="142">
        <v>31</v>
      </c>
      <c r="I42" s="172">
        <f t="shared" si="2"/>
        <v>648</v>
      </c>
      <c r="J42" s="196"/>
      <c r="K42" s="405"/>
      <c r="L42" s="134">
        <v>44</v>
      </c>
      <c r="M42" s="197"/>
      <c r="N42" s="134">
        <f t="shared" si="3"/>
        <v>1041</v>
      </c>
      <c r="O42" s="196"/>
      <c r="P42" s="416"/>
      <c r="Q42" s="142">
        <v>17</v>
      </c>
      <c r="R42" s="134">
        <f t="shared" si="4"/>
        <v>443</v>
      </c>
      <c r="S42" s="196"/>
      <c r="T42" s="416"/>
      <c r="U42" s="142">
        <f t="shared" si="1"/>
        <v>114</v>
      </c>
      <c r="V42" s="142">
        <f t="shared" si="5"/>
        <v>2785</v>
      </c>
    </row>
    <row r="43" spans="1:25" x14ac:dyDescent="0.2">
      <c r="A43" s="17">
        <v>2004</v>
      </c>
      <c r="B43" s="196"/>
      <c r="C43" s="405"/>
      <c r="D43" s="149">
        <v>20</v>
      </c>
      <c r="E43" s="174">
        <f t="shared" si="0"/>
        <v>673</v>
      </c>
      <c r="F43" s="199"/>
      <c r="G43" s="410"/>
      <c r="H43" s="149">
        <v>41</v>
      </c>
      <c r="I43" s="172">
        <f t="shared" si="2"/>
        <v>689</v>
      </c>
      <c r="J43" s="196"/>
      <c r="K43" s="405"/>
      <c r="L43" s="134">
        <v>51</v>
      </c>
      <c r="M43" s="197"/>
      <c r="N43" s="134">
        <f t="shared" si="3"/>
        <v>1092</v>
      </c>
      <c r="O43" s="196"/>
      <c r="P43" s="416"/>
      <c r="Q43" s="142">
        <v>11</v>
      </c>
      <c r="R43" s="134">
        <f t="shared" si="4"/>
        <v>454</v>
      </c>
      <c r="S43" s="196"/>
      <c r="T43" s="416"/>
      <c r="U43" s="142">
        <f t="shared" si="1"/>
        <v>123</v>
      </c>
      <c r="V43" s="142">
        <f t="shared" si="5"/>
        <v>2908</v>
      </c>
    </row>
    <row r="44" spans="1:25" x14ac:dyDescent="0.2">
      <c r="A44" s="17">
        <v>2005</v>
      </c>
      <c r="B44" s="196"/>
      <c r="C44" s="405"/>
      <c r="D44" s="142">
        <f>4+4+2+4</f>
        <v>14</v>
      </c>
      <c r="E44" s="174">
        <f t="shared" si="0"/>
        <v>687</v>
      </c>
      <c r="F44" s="196"/>
      <c r="G44" s="405"/>
      <c r="H44" s="141">
        <f>10+9+8+12</f>
        <v>39</v>
      </c>
      <c r="I44" s="172">
        <f t="shared" si="2"/>
        <v>728</v>
      </c>
      <c r="J44" s="198"/>
      <c r="K44" s="200"/>
      <c r="L44" s="200">
        <f>12+15+9+17</f>
        <v>53</v>
      </c>
      <c r="M44" s="201"/>
      <c r="N44" s="134">
        <f t="shared" si="3"/>
        <v>1145</v>
      </c>
      <c r="O44" s="415"/>
      <c r="P44" s="169"/>
      <c r="Q44" s="136">
        <f>5+5+6+6</f>
        <v>22</v>
      </c>
      <c r="R44" s="134">
        <f t="shared" si="4"/>
        <v>476</v>
      </c>
      <c r="S44" s="196"/>
      <c r="T44" s="416"/>
      <c r="U44" s="142">
        <f t="shared" si="1"/>
        <v>128</v>
      </c>
      <c r="V44" s="142">
        <f t="shared" si="5"/>
        <v>3036</v>
      </c>
    </row>
    <row r="45" spans="1:25" x14ac:dyDescent="0.2">
      <c r="A45" s="17">
        <v>2006</v>
      </c>
      <c r="B45" s="196"/>
      <c r="C45" s="405"/>
      <c r="D45" s="142">
        <f>6+6+3+7</f>
        <v>22</v>
      </c>
      <c r="E45" s="174">
        <f t="shared" si="0"/>
        <v>709</v>
      </c>
      <c r="F45" s="196"/>
      <c r="G45" s="405"/>
      <c r="H45" s="141">
        <f>8+9+14+8</f>
        <v>39</v>
      </c>
      <c r="I45" s="172">
        <f t="shared" ref="I45:I50" si="6">I44+H45</f>
        <v>767</v>
      </c>
      <c r="J45" s="196"/>
      <c r="K45" s="405"/>
      <c r="L45" s="200">
        <f>17+15+7+18</f>
        <v>57</v>
      </c>
      <c r="M45" s="201"/>
      <c r="N45" s="134">
        <f t="shared" ref="N45:N50" si="7">N44+L45</f>
        <v>1202</v>
      </c>
      <c r="O45" s="196"/>
      <c r="P45" s="405"/>
      <c r="Q45" s="136">
        <f>6+6+3+4</f>
        <v>19</v>
      </c>
      <c r="R45" s="134">
        <f t="shared" ref="R45:R50" si="8">R44+Q45</f>
        <v>495</v>
      </c>
      <c r="S45" s="196"/>
      <c r="T45" s="405"/>
      <c r="U45" s="142">
        <f t="shared" si="1"/>
        <v>137</v>
      </c>
      <c r="V45" s="142">
        <f t="shared" ref="V45:V50" si="9">V44+U45</f>
        <v>3173</v>
      </c>
      <c r="Y45" s="143"/>
    </row>
    <row r="46" spans="1:25" x14ac:dyDescent="0.2">
      <c r="A46" s="17">
        <v>2007</v>
      </c>
      <c r="B46" s="196"/>
      <c r="C46" s="405"/>
      <c r="D46" s="142">
        <f>12+7+5+3</f>
        <v>27</v>
      </c>
      <c r="E46" s="174">
        <f t="shared" si="0"/>
        <v>736</v>
      </c>
      <c r="F46" s="196"/>
      <c r="G46" s="405"/>
      <c r="H46" s="142">
        <f>11+5+5+4</f>
        <v>25</v>
      </c>
      <c r="I46" s="172">
        <f t="shared" si="6"/>
        <v>792</v>
      </c>
      <c r="J46" s="196"/>
      <c r="K46" s="405"/>
      <c r="L46" s="200">
        <f>11+9+17+19</f>
        <v>56</v>
      </c>
      <c r="M46" s="201"/>
      <c r="N46" s="134">
        <f t="shared" si="7"/>
        <v>1258</v>
      </c>
      <c r="O46" s="196"/>
      <c r="P46" s="405"/>
      <c r="Q46" s="202">
        <f>8+5+4+8</f>
        <v>25</v>
      </c>
      <c r="R46" s="134">
        <f t="shared" si="8"/>
        <v>520</v>
      </c>
      <c r="S46" s="196"/>
      <c r="T46" s="405"/>
      <c r="U46" s="142">
        <f t="shared" si="1"/>
        <v>133</v>
      </c>
      <c r="V46" s="142">
        <f t="shared" si="9"/>
        <v>3306</v>
      </c>
    </row>
    <row r="47" spans="1:25" x14ac:dyDescent="0.2">
      <c r="A47" s="17">
        <v>2008</v>
      </c>
      <c r="B47" s="196"/>
      <c r="C47" s="405"/>
      <c r="D47" s="142">
        <v>32</v>
      </c>
      <c r="E47" s="174">
        <f t="shared" si="0"/>
        <v>768</v>
      </c>
      <c r="F47" s="196"/>
      <c r="G47" s="405"/>
      <c r="H47" s="142">
        <v>35</v>
      </c>
      <c r="I47" s="172">
        <f t="shared" si="6"/>
        <v>827</v>
      </c>
      <c r="J47" s="196"/>
      <c r="K47" s="405"/>
      <c r="L47" s="200">
        <v>61</v>
      </c>
      <c r="M47" s="201"/>
      <c r="N47" s="134">
        <f t="shared" si="7"/>
        <v>1319</v>
      </c>
      <c r="O47" s="196"/>
      <c r="P47" s="405"/>
      <c r="Q47" s="202">
        <v>24</v>
      </c>
      <c r="R47" s="134">
        <f t="shared" si="8"/>
        <v>544</v>
      </c>
      <c r="S47" s="196"/>
      <c r="T47" s="405"/>
      <c r="U47" s="142">
        <f t="shared" si="1"/>
        <v>152</v>
      </c>
      <c r="V47" s="142">
        <f t="shared" si="9"/>
        <v>3458</v>
      </c>
    </row>
    <row r="48" spans="1:25" x14ac:dyDescent="0.2">
      <c r="A48" s="17">
        <v>2009</v>
      </c>
      <c r="B48" s="196"/>
      <c r="C48" s="405"/>
      <c r="D48" s="142">
        <f>5+7+2+7</f>
        <v>21</v>
      </c>
      <c r="E48" s="174">
        <f t="shared" si="0"/>
        <v>789</v>
      </c>
      <c r="F48" s="196"/>
      <c r="G48" s="405"/>
      <c r="H48" s="142">
        <f>6+6+9+6</f>
        <v>27</v>
      </c>
      <c r="I48" s="172">
        <f t="shared" si="6"/>
        <v>854</v>
      </c>
      <c r="J48" s="199"/>
      <c r="K48" s="410"/>
      <c r="L48" s="203">
        <f>15+13+10+17</f>
        <v>55</v>
      </c>
      <c r="M48" s="204"/>
      <c r="N48" s="174">
        <f t="shared" si="7"/>
        <v>1374</v>
      </c>
      <c r="O48" s="199"/>
      <c r="P48" s="410"/>
      <c r="Q48" s="205">
        <f>5+9+7+4</f>
        <v>25</v>
      </c>
      <c r="R48" s="174">
        <f t="shared" si="8"/>
        <v>569</v>
      </c>
      <c r="S48" s="199"/>
      <c r="T48" s="410"/>
      <c r="U48" s="149">
        <f t="shared" si="1"/>
        <v>128</v>
      </c>
      <c r="V48" s="149">
        <f t="shared" si="9"/>
        <v>3586</v>
      </c>
    </row>
    <row r="49" spans="1:22" x14ac:dyDescent="0.2">
      <c r="A49" s="150">
        <v>2010</v>
      </c>
      <c r="B49" s="196"/>
      <c r="C49" s="405"/>
      <c r="D49" s="142">
        <f>7+8+9+5</f>
        <v>29</v>
      </c>
      <c r="E49" s="174">
        <f t="shared" si="0"/>
        <v>818</v>
      </c>
      <c r="F49" s="196"/>
      <c r="G49" s="405"/>
      <c r="H49" s="142">
        <f>6+5+9+3</f>
        <v>23</v>
      </c>
      <c r="I49" s="172">
        <f t="shared" si="6"/>
        <v>877</v>
      </c>
      <c r="J49" s="199"/>
      <c r="K49" s="410"/>
      <c r="L49" s="174">
        <f>7+11+10+17</f>
        <v>45</v>
      </c>
      <c r="M49" s="87" t="s">
        <v>37</v>
      </c>
      <c r="N49" s="174">
        <f t="shared" si="7"/>
        <v>1419</v>
      </c>
      <c r="O49" s="199"/>
      <c r="P49" s="410"/>
      <c r="Q49" s="205">
        <f>3+5+10+3</f>
        <v>21</v>
      </c>
      <c r="R49" s="174">
        <f t="shared" si="8"/>
        <v>590</v>
      </c>
      <c r="S49" s="199"/>
      <c r="T49" s="410"/>
      <c r="U49" s="149">
        <f t="shared" si="1"/>
        <v>118</v>
      </c>
      <c r="V49" s="149">
        <f t="shared" si="9"/>
        <v>3704</v>
      </c>
    </row>
    <row r="50" spans="1:22" s="156" customFormat="1" x14ac:dyDescent="0.2">
      <c r="A50" s="154">
        <v>2011</v>
      </c>
      <c r="B50" s="206"/>
      <c r="C50" s="406"/>
      <c r="D50" s="133">
        <f>4+8+11+6</f>
        <v>29</v>
      </c>
      <c r="E50" s="155">
        <f t="shared" si="0"/>
        <v>847</v>
      </c>
      <c r="F50" s="206"/>
      <c r="G50" s="406"/>
      <c r="H50" s="133">
        <f>9+10+9+8</f>
        <v>36</v>
      </c>
      <c r="I50" s="127">
        <f t="shared" si="6"/>
        <v>913</v>
      </c>
      <c r="J50" s="207"/>
      <c r="K50" s="412"/>
      <c r="L50" s="155">
        <f>18+13+15+11</f>
        <v>57</v>
      </c>
      <c r="M50" s="87" t="s">
        <v>38</v>
      </c>
      <c r="N50" s="155">
        <f t="shared" si="7"/>
        <v>1476</v>
      </c>
      <c r="O50" s="207"/>
      <c r="P50" s="412"/>
      <c r="Q50" s="136">
        <f>3+6+3+9</f>
        <v>21</v>
      </c>
      <c r="R50" s="155">
        <f t="shared" si="8"/>
        <v>611</v>
      </c>
      <c r="S50" s="207"/>
      <c r="T50" s="412"/>
      <c r="U50" s="141">
        <f t="shared" si="1"/>
        <v>143</v>
      </c>
      <c r="V50" s="141">
        <f t="shared" si="9"/>
        <v>3847</v>
      </c>
    </row>
    <row r="51" spans="1:22" s="156" customFormat="1" x14ac:dyDescent="0.2">
      <c r="A51" s="154">
        <v>2012</v>
      </c>
      <c r="B51" s="206"/>
      <c r="C51" s="406"/>
      <c r="D51" s="133">
        <f>2+5+7+8</f>
        <v>22</v>
      </c>
      <c r="E51" s="155">
        <f t="shared" si="0"/>
        <v>869</v>
      </c>
      <c r="F51" s="206"/>
      <c r="G51" s="406"/>
      <c r="H51" s="133">
        <f>5+14+12+11</f>
        <v>42</v>
      </c>
      <c r="I51" s="127">
        <f t="shared" ref="I51:I56" si="10">I50+H51</f>
        <v>955</v>
      </c>
      <c r="J51" s="207"/>
      <c r="K51" s="412"/>
      <c r="L51" s="155">
        <f>17+6+17+16</f>
        <v>56</v>
      </c>
      <c r="M51" s="87" t="s">
        <v>37</v>
      </c>
      <c r="N51" s="155">
        <f t="shared" ref="N51:N56" si="11">N50+L51</f>
        <v>1532</v>
      </c>
      <c r="O51" s="207"/>
      <c r="P51" s="412"/>
      <c r="Q51" s="136">
        <f>4+5+7+5</f>
        <v>21</v>
      </c>
      <c r="R51" s="155">
        <f t="shared" ref="R51:R56" si="12">R50+Q51</f>
        <v>632</v>
      </c>
      <c r="S51" s="207"/>
      <c r="T51" s="412"/>
      <c r="U51" s="141">
        <f t="shared" si="1"/>
        <v>141</v>
      </c>
      <c r="V51" s="141">
        <f t="shared" ref="V51:V56" si="13">V50+U51</f>
        <v>3988</v>
      </c>
    </row>
    <row r="52" spans="1:22" s="156" customFormat="1" x14ac:dyDescent="0.2">
      <c r="A52" s="154">
        <v>2013</v>
      </c>
      <c r="B52" s="206"/>
      <c r="C52" s="406"/>
      <c r="D52" s="133">
        <f>6+5+6+9</f>
        <v>26</v>
      </c>
      <c r="E52" s="155">
        <f t="shared" si="0"/>
        <v>895</v>
      </c>
      <c r="F52" s="206"/>
      <c r="G52" s="406"/>
      <c r="H52" s="133">
        <f>5+7+10+12</f>
        <v>34</v>
      </c>
      <c r="I52" s="127">
        <f t="shared" si="10"/>
        <v>989</v>
      </c>
      <c r="J52" s="207"/>
      <c r="K52" s="412"/>
      <c r="L52" s="155">
        <f>16+11+17+16</f>
        <v>60</v>
      </c>
      <c r="M52" s="87" t="s">
        <v>20</v>
      </c>
      <c r="N52" s="155">
        <f t="shared" si="11"/>
        <v>1592</v>
      </c>
      <c r="O52" s="207"/>
      <c r="P52" s="412"/>
      <c r="Q52" s="136">
        <f>7+7+8+9</f>
        <v>31</v>
      </c>
      <c r="R52" s="155">
        <f t="shared" si="12"/>
        <v>663</v>
      </c>
      <c r="S52" s="207"/>
      <c r="T52" s="412"/>
      <c r="U52" s="141">
        <f t="shared" ref="U52:U69" si="14">D52+H52+L52+Q52</f>
        <v>151</v>
      </c>
      <c r="V52" s="141">
        <f t="shared" si="13"/>
        <v>4139</v>
      </c>
    </row>
    <row r="53" spans="1:22" s="156" customFormat="1" x14ac:dyDescent="0.2">
      <c r="A53" s="154">
        <v>2014</v>
      </c>
      <c r="B53" s="206"/>
      <c r="C53" s="406"/>
      <c r="D53" s="133">
        <f>9+13+10+9</f>
        <v>41</v>
      </c>
      <c r="E53" s="155">
        <f t="shared" si="0"/>
        <v>936</v>
      </c>
      <c r="F53" s="206"/>
      <c r="G53" s="406"/>
      <c r="H53" s="133">
        <f>7+15+6+15</f>
        <v>43</v>
      </c>
      <c r="I53" s="127">
        <f t="shared" si="10"/>
        <v>1032</v>
      </c>
      <c r="J53" s="207"/>
      <c r="K53" s="412"/>
      <c r="L53" s="155">
        <f>10+13+14+18</f>
        <v>55</v>
      </c>
      <c r="M53" s="87" t="s">
        <v>37</v>
      </c>
      <c r="N53" s="155">
        <f t="shared" si="11"/>
        <v>1647</v>
      </c>
      <c r="O53" s="207"/>
      <c r="P53" s="412"/>
      <c r="Q53" s="136">
        <f>9+2+10+6</f>
        <v>27</v>
      </c>
      <c r="R53" s="155">
        <f t="shared" si="12"/>
        <v>690</v>
      </c>
      <c r="S53" s="207"/>
      <c r="T53" s="412"/>
      <c r="U53" s="141">
        <f t="shared" si="14"/>
        <v>166</v>
      </c>
      <c r="V53" s="141">
        <f t="shared" si="13"/>
        <v>4305</v>
      </c>
    </row>
    <row r="54" spans="1:22" s="156" customFormat="1" x14ac:dyDescent="0.2">
      <c r="A54" s="154">
        <v>2015</v>
      </c>
      <c r="B54" s="206"/>
      <c r="C54" s="406"/>
      <c r="D54" s="133">
        <f>10+9+14+10</f>
        <v>43</v>
      </c>
      <c r="E54" s="155">
        <f t="shared" si="0"/>
        <v>979</v>
      </c>
      <c r="F54" s="206"/>
      <c r="G54" s="406"/>
      <c r="H54" s="133">
        <f>12+9+10+7</f>
        <v>38</v>
      </c>
      <c r="I54" s="127">
        <f t="shared" si="10"/>
        <v>1070</v>
      </c>
      <c r="J54" s="207"/>
      <c r="K54" s="412"/>
      <c r="L54" s="155">
        <f>20+13+14+19</f>
        <v>66</v>
      </c>
      <c r="M54" s="238" t="s">
        <v>41</v>
      </c>
      <c r="N54" s="155">
        <f t="shared" si="11"/>
        <v>1713</v>
      </c>
      <c r="O54" s="207"/>
      <c r="P54" s="412"/>
      <c r="Q54" s="136">
        <f>8+4+4+4</f>
        <v>20</v>
      </c>
      <c r="R54" s="155">
        <f t="shared" si="12"/>
        <v>710</v>
      </c>
      <c r="S54" s="207"/>
      <c r="T54" s="412"/>
      <c r="U54" s="141">
        <f t="shared" si="14"/>
        <v>167</v>
      </c>
      <c r="V54" s="141">
        <f t="shared" si="13"/>
        <v>4472</v>
      </c>
    </row>
    <row r="55" spans="1:22" s="156" customFormat="1" x14ac:dyDescent="0.2">
      <c r="A55" s="150">
        <v>2016</v>
      </c>
      <c r="B55" s="206"/>
      <c r="C55" s="406"/>
      <c r="D55" s="133">
        <f>12+12+8+12</f>
        <v>44</v>
      </c>
      <c r="E55" s="155">
        <f t="shared" si="0"/>
        <v>1023</v>
      </c>
      <c r="F55" s="206"/>
      <c r="G55" s="406"/>
      <c r="H55" s="133">
        <f>12+12+8+14</f>
        <v>46</v>
      </c>
      <c r="I55" s="127">
        <f t="shared" si="10"/>
        <v>1116</v>
      </c>
      <c r="J55" s="207"/>
      <c r="K55" s="412"/>
      <c r="L55" s="155">
        <f>17+15+15+16</f>
        <v>63</v>
      </c>
      <c r="M55" s="238" t="s">
        <v>42</v>
      </c>
      <c r="N55" s="155">
        <f t="shared" si="11"/>
        <v>1776</v>
      </c>
      <c r="O55" s="207"/>
      <c r="P55" s="412"/>
      <c r="Q55" s="136">
        <f>10+8+8+6</f>
        <v>32</v>
      </c>
      <c r="R55" s="155">
        <f t="shared" si="12"/>
        <v>742</v>
      </c>
      <c r="S55" s="207"/>
      <c r="T55" s="412"/>
      <c r="U55" s="141">
        <f t="shared" si="14"/>
        <v>185</v>
      </c>
      <c r="V55" s="141">
        <f t="shared" si="13"/>
        <v>4657</v>
      </c>
    </row>
    <row r="56" spans="1:22" s="237" customFormat="1" x14ac:dyDescent="0.2">
      <c r="A56" s="150">
        <v>2017</v>
      </c>
      <c r="B56" s="196"/>
      <c r="C56" s="405"/>
      <c r="D56" s="142">
        <f>14+10+10+12</f>
        <v>46</v>
      </c>
      <c r="E56" s="174">
        <f t="shared" si="0"/>
        <v>1069</v>
      </c>
      <c r="F56" s="196"/>
      <c r="G56" s="405"/>
      <c r="H56" s="142">
        <f>7+8+10+14</f>
        <v>39</v>
      </c>
      <c r="I56" s="172">
        <f t="shared" si="10"/>
        <v>1155</v>
      </c>
      <c r="J56" s="199"/>
      <c r="K56" s="410"/>
      <c r="L56" s="174">
        <f>15+18+11+15</f>
        <v>59</v>
      </c>
      <c r="M56" s="239" t="s">
        <v>43</v>
      </c>
      <c r="N56" s="174">
        <f t="shared" si="11"/>
        <v>1835</v>
      </c>
      <c r="O56" s="199"/>
      <c r="P56" s="410"/>
      <c r="Q56" s="205">
        <f>9+10+17+8</f>
        <v>44</v>
      </c>
      <c r="R56" s="174">
        <f t="shared" si="12"/>
        <v>786</v>
      </c>
      <c r="S56" s="199"/>
      <c r="T56" s="410"/>
      <c r="U56" s="149">
        <f t="shared" si="14"/>
        <v>188</v>
      </c>
      <c r="V56" s="149">
        <f t="shared" si="13"/>
        <v>4845</v>
      </c>
    </row>
    <row r="57" spans="1:22" s="237" customFormat="1" x14ac:dyDescent="0.2">
      <c r="A57" s="150">
        <v>2018</v>
      </c>
      <c r="B57" s="348">
        <f>3+2+0+1</f>
        <v>6</v>
      </c>
      <c r="C57" s="407"/>
      <c r="D57" s="349">
        <f>12+8+3+14</f>
        <v>37</v>
      </c>
      <c r="E57" s="174">
        <f t="shared" ref="E57:E62" si="15">E56+B57+D57</f>
        <v>1112</v>
      </c>
      <c r="F57" s="348">
        <f>2+0+0+1</f>
        <v>3</v>
      </c>
      <c r="G57" s="407"/>
      <c r="H57" s="349">
        <f>9+9+8+10</f>
        <v>36</v>
      </c>
      <c r="I57" s="172">
        <f t="shared" ref="I57:I62" si="16">I56+F57+H57</f>
        <v>1194</v>
      </c>
      <c r="J57" s="352">
        <f>0+1+0+0</f>
        <v>1</v>
      </c>
      <c r="K57" s="413"/>
      <c r="L57" s="353">
        <f>11+9+29+13</f>
        <v>62</v>
      </c>
      <c r="M57" s="313" t="s">
        <v>58</v>
      </c>
      <c r="N57" s="174">
        <f t="shared" ref="N57:N62" si="17">N56+J57+L57</f>
        <v>1898</v>
      </c>
      <c r="O57" s="352">
        <f>0+0+0+0</f>
        <v>0</v>
      </c>
      <c r="P57" s="413"/>
      <c r="Q57" s="356">
        <f>7+5+13+12</f>
        <v>37</v>
      </c>
      <c r="R57" s="174">
        <f t="shared" ref="R57:R62" si="18">R56+O57+Q57</f>
        <v>823</v>
      </c>
      <c r="S57" s="312">
        <f t="shared" ref="S57:S69" si="19">B57+F57+J57+O57</f>
        <v>10</v>
      </c>
      <c r="T57" s="421"/>
      <c r="U57" s="149">
        <f t="shared" si="14"/>
        <v>172</v>
      </c>
      <c r="V57" s="149">
        <f t="shared" ref="V57:V62" si="20">V56+S57+U57</f>
        <v>5027</v>
      </c>
    </row>
    <row r="58" spans="1:22" x14ac:dyDescent="0.2">
      <c r="A58" s="150">
        <v>2019</v>
      </c>
      <c r="B58" s="348">
        <f>0+0+0+2</f>
        <v>2</v>
      </c>
      <c r="C58" s="407"/>
      <c r="D58" s="349">
        <f>9+16+7+10</f>
        <v>42</v>
      </c>
      <c r="E58" s="174">
        <f t="shared" si="15"/>
        <v>1156</v>
      </c>
      <c r="F58" s="348">
        <f>0+0+0+2</f>
        <v>2</v>
      </c>
      <c r="G58" s="407"/>
      <c r="H58" s="349">
        <f>11+5+6+11</f>
        <v>33</v>
      </c>
      <c r="I58" s="172">
        <f t="shared" si="16"/>
        <v>1229</v>
      </c>
      <c r="J58" s="352">
        <f>0+0+0+0</f>
        <v>0</v>
      </c>
      <c r="K58" s="413"/>
      <c r="L58" s="353">
        <f>23+19+18+24</f>
        <v>84</v>
      </c>
      <c r="M58" s="313" t="s">
        <v>60</v>
      </c>
      <c r="N58" s="174">
        <f t="shared" si="17"/>
        <v>1982</v>
      </c>
      <c r="O58" s="352"/>
      <c r="P58" s="413"/>
      <c r="Q58" s="356">
        <f>7+4+4+13</f>
        <v>28</v>
      </c>
      <c r="R58" s="174">
        <f t="shared" si="18"/>
        <v>851</v>
      </c>
      <c r="S58" s="312">
        <f t="shared" si="19"/>
        <v>4</v>
      </c>
      <c r="T58" s="421"/>
      <c r="U58" s="149">
        <f t="shared" si="14"/>
        <v>187</v>
      </c>
      <c r="V58" s="149">
        <f t="shared" si="20"/>
        <v>5218</v>
      </c>
    </row>
    <row r="59" spans="1:22" s="314" customFormat="1" x14ac:dyDescent="0.2">
      <c r="A59" s="150">
        <v>2020</v>
      </c>
      <c r="B59" s="348">
        <f>2+0+3+1</f>
        <v>6</v>
      </c>
      <c r="C59" s="407"/>
      <c r="D59" s="349">
        <f>15+10+13+8</f>
        <v>46</v>
      </c>
      <c r="E59" s="174">
        <f t="shared" si="15"/>
        <v>1208</v>
      </c>
      <c r="F59" s="348">
        <f>1+0+1+0</f>
        <v>2</v>
      </c>
      <c r="G59" s="407"/>
      <c r="H59" s="349">
        <f>13+2+16+7</f>
        <v>38</v>
      </c>
      <c r="I59" s="172">
        <f t="shared" si="16"/>
        <v>1269</v>
      </c>
      <c r="J59" s="352">
        <f>0+0+1+0</f>
        <v>1</v>
      </c>
      <c r="K59" s="413"/>
      <c r="L59" s="353">
        <f>13+18+14+11</f>
        <v>56</v>
      </c>
      <c r="M59" s="239" t="s">
        <v>20</v>
      </c>
      <c r="N59" s="174">
        <f t="shared" si="17"/>
        <v>2039</v>
      </c>
      <c r="O59" s="352">
        <f>1+1+0+0</f>
        <v>2</v>
      </c>
      <c r="P59" s="413"/>
      <c r="Q59" s="356">
        <f>1+6+10+6</f>
        <v>23</v>
      </c>
      <c r="R59" s="174">
        <f t="shared" si="18"/>
        <v>876</v>
      </c>
      <c r="S59" s="312">
        <f t="shared" si="19"/>
        <v>11</v>
      </c>
      <c r="T59" s="421"/>
      <c r="U59" s="149">
        <f t="shared" si="14"/>
        <v>163</v>
      </c>
      <c r="V59" s="149">
        <f t="shared" si="20"/>
        <v>5392</v>
      </c>
    </row>
    <row r="60" spans="1:22" x14ac:dyDescent="0.2">
      <c r="A60" s="150">
        <v>2021</v>
      </c>
      <c r="B60" s="348">
        <f>5+4+5+3</f>
        <v>17</v>
      </c>
      <c r="C60" s="407"/>
      <c r="D60" s="349">
        <f>12+3+8+8</f>
        <v>31</v>
      </c>
      <c r="E60" s="174">
        <f t="shared" si="15"/>
        <v>1256</v>
      </c>
      <c r="F60" s="348">
        <f>0+0+0+2</f>
        <v>2</v>
      </c>
      <c r="G60" s="407"/>
      <c r="H60" s="349">
        <f>5+7+9+7</f>
        <v>28</v>
      </c>
      <c r="I60" s="172">
        <f t="shared" si="16"/>
        <v>1299</v>
      </c>
      <c r="J60" s="352">
        <f>0+2+0+3</f>
        <v>5</v>
      </c>
      <c r="K60" s="413"/>
      <c r="L60" s="353">
        <f>16+12+15+23</f>
        <v>66</v>
      </c>
      <c r="M60" s="313" t="s">
        <v>86</v>
      </c>
      <c r="N60" s="174">
        <f t="shared" si="17"/>
        <v>2110</v>
      </c>
      <c r="O60" s="352">
        <f>1+1+0+1</f>
        <v>3</v>
      </c>
      <c r="P60" s="413"/>
      <c r="Q60" s="356">
        <f>9+12+11+8</f>
        <v>40</v>
      </c>
      <c r="R60" s="174">
        <f t="shared" si="18"/>
        <v>919</v>
      </c>
      <c r="S60" s="312">
        <f t="shared" si="19"/>
        <v>27</v>
      </c>
      <c r="U60" s="149">
        <f t="shared" si="14"/>
        <v>165</v>
      </c>
      <c r="V60" s="149">
        <f t="shared" si="20"/>
        <v>5584</v>
      </c>
    </row>
    <row r="61" spans="1:22" x14ac:dyDescent="0.2">
      <c r="A61" s="150">
        <v>2022</v>
      </c>
      <c r="B61" s="350">
        <f>5+1+2+4</f>
        <v>12</v>
      </c>
      <c r="C61" s="408"/>
      <c r="D61" s="351">
        <f>5+10+6+11</f>
        <v>32</v>
      </c>
      <c r="E61" s="234">
        <f t="shared" si="15"/>
        <v>1300</v>
      </c>
      <c r="F61" s="350">
        <f>3+3+1+2</f>
        <v>9</v>
      </c>
      <c r="G61" s="408"/>
      <c r="H61" s="351">
        <f>7+11+12+4</f>
        <v>34</v>
      </c>
      <c r="I61" s="235">
        <f t="shared" si="16"/>
        <v>1342</v>
      </c>
      <c r="J61" s="354">
        <f>4+6+2+8</f>
        <v>20</v>
      </c>
      <c r="K61" s="414"/>
      <c r="L61" s="355">
        <f>16+15+12+16</f>
        <v>59</v>
      </c>
      <c r="M61" s="239" t="s">
        <v>58</v>
      </c>
      <c r="N61" s="234">
        <f t="shared" si="17"/>
        <v>2189</v>
      </c>
      <c r="O61" s="354">
        <f>1+3+2+0</f>
        <v>6</v>
      </c>
      <c r="P61" s="414"/>
      <c r="Q61" s="357">
        <f>11+5+13+5</f>
        <v>34</v>
      </c>
      <c r="R61" s="234">
        <f t="shared" si="18"/>
        <v>959</v>
      </c>
      <c r="S61" s="240">
        <f t="shared" si="19"/>
        <v>47</v>
      </c>
      <c r="T61" s="422"/>
      <c r="U61" s="236">
        <f t="shared" si="14"/>
        <v>159</v>
      </c>
      <c r="V61" s="236">
        <f t="shared" si="20"/>
        <v>5790</v>
      </c>
    </row>
    <row r="62" spans="1:22" x14ac:dyDescent="0.2">
      <c r="A62" s="150">
        <v>2023</v>
      </c>
      <c r="B62" s="350">
        <f>7+4+7+7</f>
        <v>25</v>
      </c>
      <c r="C62" s="408"/>
      <c r="D62" s="351">
        <f>6+14+9+15</f>
        <v>44</v>
      </c>
      <c r="E62" s="234">
        <f t="shared" si="15"/>
        <v>1369</v>
      </c>
      <c r="F62" s="350">
        <f>4+5+2+4</f>
        <v>15</v>
      </c>
      <c r="G62" s="408"/>
      <c r="H62" s="351">
        <f>15+11+8+9</f>
        <v>43</v>
      </c>
      <c r="I62" s="235">
        <f t="shared" si="16"/>
        <v>1400</v>
      </c>
      <c r="J62" s="354">
        <f>5+8+0+4</f>
        <v>17</v>
      </c>
      <c r="K62" s="414"/>
      <c r="L62" s="355">
        <f>20+20+21+21</f>
        <v>82</v>
      </c>
      <c r="M62" s="239" t="s">
        <v>58</v>
      </c>
      <c r="N62" s="234">
        <f t="shared" si="17"/>
        <v>2288</v>
      </c>
      <c r="O62" s="354">
        <f>2+0+2+7</f>
        <v>11</v>
      </c>
      <c r="P62" s="414"/>
      <c r="Q62" s="357">
        <f>4+2+7+8</f>
        <v>21</v>
      </c>
      <c r="R62" s="234">
        <f t="shared" si="18"/>
        <v>991</v>
      </c>
      <c r="S62" s="240">
        <f t="shared" si="19"/>
        <v>68</v>
      </c>
      <c r="T62" s="422"/>
      <c r="U62" s="236">
        <f t="shared" si="14"/>
        <v>190</v>
      </c>
      <c r="V62" s="236">
        <f t="shared" si="20"/>
        <v>6048</v>
      </c>
    </row>
    <row r="63" spans="1:22" s="368" customFormat="1" x14ac:dyDescent="0.2">
      <c r="A63" s="399">
        <v>2024</v>
      </c>
      <c r="B63" s="369">
        <f>6+2+6+6</f>
        <v>20</v>
      </c>
      <c r="C63" s="409">
        <f>1+1+1+2</f>
        <v>5</v>
      </c>
      <c r="D63" s="371">
        <f>12+4+5+9</f>
        <v>30</v>
      </c>
      <c r="E63" s="234">
        <f t="shared" ref="E63:E69" si="21">IF(AND(B63=0,D63=0),,(E62+B63+D63))</f>
        <v>1419</v>
      </c>
      <c r="F63" s="372">
        <f>3+5+3+1</f>
        <v>12</v>
      </c>
      <c r="G63" s="411">
        <f>1+1+1+0</f>
        <v>3</v>
      </c>
      <c r="H63" s="371">
        <f>4+14+8+13</f>
        <v>39</v>
      </c>
      <c r="I63" s="234">
        <f t="shared" ref="I63:I69" si="22">IF(AND(F63=0,H63=0),,(I62+F63+H63))</f>
        <v>1451</v>
      </c>
      <c r="J63" s="373">
        <f>3+6+4+6</f>
        <v>19</v>
      </c>
      <c r="K63" s="374">
        <f>0+1+0+1</f>
        <v>2</v>
      </c>
      <c r="L63" s="374">
        <f>13+20+20+20</f>
        <v>73</v>
      </c>
      <c r="M63" s="424">
        <v>3</v>
      </c>
      <c r="N63" s="234">
        <f t="shared" ref="N63:N69" si="23">IF(AND(L63=0,M63=0),,(N62+L63+M63))</f>
        <v>2364</v>
      </c>
      <c r="O63" s="373">
        <f>0+2+1+5</f>
        <v>8</v>
      </c>
      <c r="P63" s="370">
        <f>0+1+1+0</f>
        <v>2</v>
      </c>
      <c r="Q63" s="376">
        <f>6+5+14+7</f>
        <v>32</v>
      </c>
      <c r="R63" s="234">
        <f t="shared" ref="R63:R69" si="24">IF(AND(O63=0,Q63=0),,(R62+O63+Q63))</f>
        <v>1031</v>
      </c>
      <c r="S63" s="240">
        <f t="shared" si="19"/>
        <v>59</v>
      </c>
      <c r="T63" s="422">
        <f>C63+G63+K63+P63</f>
        <v>12</v>
      </c>
      <c r="U63" s="236">
        <f t="shared" si="14"/>
        <v>174</v>
      </c>
      <c r="V63" s="236">
        <f t="shared" ref="V63:V69" si="25">IF(AND(S63=0,U63=0),,(V62+S63+U63))</f>
        <v>6281</v>
      </c>
    </row>
    <row r="64" spans="1:22" s="368" customFormat="1" x14ac:dyDescent="0.2">
      <c r="A64" s="150">
        <v>2025</v>
      </c>
      <c r="B64" s="369"/>
      <c r="C64" s="409"/>
      <c r="D64" s="371"/>
      <c r="E64" s="234">
        <f t="shared" si="21"/>
        <v>0</v>
      </c>
      <c r="F64" s="372"/>
      <c r="G64" s="411"/>
      <c r="H64" s="371"/>
      <c r="I64" s="234">
        <f t="shared" si="22"/>
        <v>0</v>
      </c>
      <c r="J64" s="373"/>
      <c r="K64" s="374"/>
      <c r="L64" s="374"/>
      <c r="M64" s="375"/>
      <c r="N64" s="234">
        <f t="shared" si="23"/>
        <v>0</v>
      </c>
      <c r="O64" s="373"/>
      <c r="P64" s="376"/>
      <c r="Q64" s="376"/>
      <c r="R64" s="234">
        <f t="shared" si="24"/>
        <v>0</v>
      </c>
      <c r="S64" s="240">
        <f t="shared" si="19"/>
        <v>0</v>
      </c>
      <c r="T64" s="422"/>
      <c r="U64" s="236">
        <f t="shared" si="14"/>
        <v>0</v>
      </c>
      <c r="V64" s="236">
        <f t="shared" si="25"/>
        <v>0</v>
      </c>
    </row>
    <row r="65" spans="1:22" s="368" customFormat="1" x14ac:dyDescent="0.2">
      <c r="A65" s="150">
        <v>2026</v>
      </c>
      <c r="B65" s="369"/>
      <c r="C65" s="409"/>
      <c r="D65" s="371"/>
      <c r="E65" s="234">
        <f t="shared" si="21"/>
        <v>0</v>
      </c>
      <c r="F65" s="372"/>
      <c r="G65" s="411"/>
      <c r="H65" s="371"/>
      <c r="I65" s="234">
        <f t="shared" si="22"/>
        <v>0</v>
      </c>
      <c r="J65" s="373"/>
      <c r="K65" s="374"/>
      <c r="L65" s="374"/>
      <c r="M65" s="375"/>
      <c r="N65" s="234">
        <f t="shared" si="23"/>
        <v>0</v>
      </c>
      <c r="O65" s="373"/>
      <c r="P65" s="376"/>
      <c r="Q65" s="376"/>
      <c r="R65" s="234">
        <f t="shared" si="24"/>
        <v>0</v>
      </c>
      <c r="S65" s="240">
        <f t="shared" si="19"/>
        <v>0</v>
      </c>
      <c r="T65" s="422"/>
      <c r="U65" s="236">
        <f t="shared" si="14"/>
        <v>0</v>
      </c>
      <c r="V65" s="236">
        <f t="shared" si="25"/>
        <v>0</v>
      </c>
    </row>
    <row r="66" spans="1:22" s="368" customFormat="1" x14ac:dyDescent="0.2">
      <c r="A66" s="150">
        <v>2027</v>
      </c>
      <c r="B66" s="369"/>
      <c r="C66" s="409"/>
      <c r="D66" s="371"/>
      <c r="E66" s="234">
        <f t="shared" si="21"/>
        <v>0</v>
      </c>
      <c r="F66" s="372"/>
      <c r="G66" s="411"/>
      <c r="H66" s="371"/>
      <c r="I66" s="234">
        <f t="shared" si="22"/>
        <v>0</v>
      </c>
      <c r="J66" s="373"/>
      <c r="K66" s="374"/>
      <c r="L66" s="374"/>
      <c r="M66" s="375"/>
      <c r="N66" s="234">
        <f t="shared" si="23"/>
        <v>0</v>
      </c>
      <c r="O66" s="373"/>
      <c r="P66" s="376"/>
      <c r="Q66" s="376"/>
      <c r="R66" s="234">
        <f t="shared" si="24"/>
        <v>0</v>
      </c>
      <c r="S66" s="240">
        <f t="shared" si="19"/>
        <v>0</v>
      </c>
      <c r="T66" s="422"/>
      <c r="U66" s="236">
        <f t="shared" si="14"/>
        <v>0</v>
      </c>
      <c r="V66" s="236">
        <f t="shared" si="25"/>
        <v>0</v>
      </c>
    </row>
    <row r="67" spans="1:22" s="368" customFormat="1" x14ac:dyDescent="0.2">
      <c r="A67" s="150">
        <v>2028</v>
      </c>
      <c r="B67" s="369"/>
      <c r="C67" s="409"/>
      <c r="D67" s="371"/>
      <c r="E67" s="234">
        <f t="shared" si="21"/>
        <v>0</v>
      </c>
      <c r="F67" s="372"/>
      <c r="G67" s="411"/>
      <c r="H67" s="371"/>
      <c r="I67" s="234">
        <f t="shared" si="22"/>
        <v>0</v>
      </c>
      <c r="J67" s="373"/>
      <c r="K67" s="374"/>
      <c r="L67" s="374"/>
      <c r="M67" s="375"/>
      <c r="N67" s="234">
        <f t="shared" si="23"/>
        <v>0</v>
      </c>
      <c r="O67" s="373"/>
      <c r="P67" s="376"/>
      <c r="Q67" s="376"/>
      <c r="R67" s="234">
        <f t="shared" si="24"/>
        <v>0</v>
      </c>
      <c r="S67" s="240">
        <f t="shared" si="19"/>
        <v>0</v>
      </c>
      <c r="T67" s="422"/>
      <c r="U67" s="236">
        <f t="shared" si="14"/>
        <v>0</v>
      </c>
      <c r="V67" s="236">
        <f t="shared" si="25"/>
        <v>0</v>
      </c>
    </row>
    <row r="68" spans="1:22" s="368" customFormat="1" x14ac:dyDescent="0.2">
      <c r="A68" s="150">
        <v>2029</v>
      </c>
      <c r="B68" s="369"/>
      <c r="C68" s="409"/>
      <c r="D68" s="371"/>
      <c r="E68" s="234">
        <f t="shared" si="21"/>
        <v>0</v>
      </c>
      <c r="F68" s="372"/>
      <c r="G68" s="411"/>
      <c r="H68" s="371"/>
      <c r="I68" s="234">
        <f t="shared" si="22"/>
        <v>0</v>
      </c>
      <c r="J68" s="373"/>
      <c r="K68" s="374"/>
      <c r="L68" s="374"/>
      <c r="M68" s="375"/>
      <c r="N68" s="234">
        <f t="shared" si="23"/>
        <v>0</v>
      </c>
      <c r="O68" s="373"/>
      <c r="P68" s="376"/>
      <c r="Q68" s="376"/>
      <c r="R68" s="234">
        <f t="shared" si="24"/>
        <v>0</v>
      </c>
      <c r="S68" s="240">
        <f t="shared" si="19"/>
        <v>0</v>
      </c>
      <c r="T68" s="422"/>
      <c r="U68" s="236">
        <f t="shared" si="14"/>
        <v>0</v>
      </c>
      <c r="V68" s="236">
        <f t="shared" si="25"/>
        <v>0</v>
      </c>
    </row>
    <row r="69" spans="1:22" s="368" customFormat="1" x14ac:dyDescent="0.2">
      <c r="A69" s="150">
        <v>2030</v>
      </c>
      <c r="B69" s="369"/>
      <c r="C69" s="409"/>
      <c r="D69" s="371"/>
      <c r="E69" s="234">
        <f t="shared" si="21"/>
        <v>0</v>
      </c>
      <c r="F69" s="372"/>
      <c r="G69" s="411"/>
      <c r="H69" s="371"/>
      <c r="I69" s="234">
        <f t="shared" si="22"/>
        <v>0</v>
      </c>
      <c r="J69" s="373"/>
      <c r="K69" s="374"/>
      <c r="L69" s="374"/>
      <c r="M69" s="375"/>
      <c r="N69" s="234">
        <f t="shared" si="23"/>
        <v>0</v>
      </c>
      <c r="O69" s="373"/>
      <c r="P69" s="376"/>
      <c r="Q69" s="376"/>
      <c r="R69" s="234">
        <f t="shared" si="24"/>
        <v>0</v>
      </c>
      <c r="S69" s="240">
        <f t="shared" si="19"/>
        <v>0</v>
      </c>
      <c r="T69" s="422"/>
      <c r="U69" s="236">
        <f t="shared" si="14"/>
        <v>0</v>
      </c>
      <c r="V69" s="236">
        <f t="shared" si="25"/>
        <v>0</v>
      </c>
    </row>
    <row r="70" spans="1:22" x14ac:dyDescent="0.2">
      <c r="A70" s="150"/>
      <c r="B70" s="361"/>
      <c r="C70" s="150"/>
      <c r="D70" s="128"/>
      <c r="E70" s="362"/>
      <c r="F70" s="137"/>
      <c r="G70" s="131"/>
      <c r="H70" s="128"/>
      <c r="I70" s="363"/>
      <c r="J70" s="140"/>
      <c r="K70" s="423"/>
      <c r="L70" s="423"/>
      <c r="M70" s="366"/>
      <c r="N70" s="365"/>
      <c r="O70" s="140"/>
      <c r="P70" s="367"/>
      <c r="Q70" s="138"/>
      <c r="R70" s="365"/>
      <c r="S70" s="364"/>
      <c r="T70" s="367"/>
      <c r="U70" s="367"/>
      <c r="V70" s="236"/>
    </row>
    <row r="71" spans="1:22" x14ac:dyDescent="0.2">
      <c r="A71" s="17"/>
      <c r="B71" s="91"/>
      <c r="D71" s="54"/>
      <c r="E71" s="98"/>
      <c r="F71" s="51"/>
      <c r="G71" s="53"/>
      <c r="H71" s="54"/>
      <c r="I71" s="33"/>
      <c r="J71" s="64"/>
      <c r="L71" s="71"/>
      <c r="N71" s="29"/>
      <c r="O71" s="64"/>
      <c r="P71" s="26"/>
      <c r="Q71" s="62"/>
      <c r="R71" s="29"/>
      <c r="S71" s="20"/>
      <c r="T71" s="26"/>
      <c r="U71" s="26"/>
      <c r="V71" s="26"/>
    </row>
    <row r="72" spans="1:22" x14ac:dyDescent="0.2">
      <c r="A72" s="18"/>
      <c r="B72" s="92"/>
      <c r="C72" s="18"/>
      <c r="D72" s="58"/>
      <c r="E72" s="99"/>
      <c r="F72" s="55"/>
      <c r="G72" s="57"/>
      <c r="H72" s="58"/>
      <c r="I72" s="34"/>
      <c r="J72" s="79"/>
      <c r="K72" s="76"/>
      <c r="L72" s="76"/>
      <c r="M72" s="90"/>
      <c r="N72" s="30"/>
      <c r="O72" s="79"/>
      <c r="P72" s="28"/>
      <c r="Q72" s="75"/>
      <c r="R72" s="30"/>
      <c r="S72" s="21"/>
      <c r="T72" s="28"/>
      <c r="U72" s="28"/>
      <c r="V72" s="28"/>
    </row>
    <row r="73" spans="1:22" x14ac:dyDescent="0.2">
      <c r="D73" s="82"/>
      <c r="E73" s="89"/>
    </row>
    <row r="74" spans="1:22" x14ac:dyDescent="0.2">
      <c r="A74" s="125" t="s">
        <v>34</v>
      </c>
      <c r="D74" s="82"/>
      <c r="E74" s="89"/>
    </row>
    <row r="75" spans="1:22" x14ac:dyDescent="0.2">
      <c r="D75" s="82"/>
      <c r="E75" s="89"/>
    </row>
    <row r="76" spans="1:22" x14ac:dyDescent="0.2">
      <c r="D76" s="82"/>
      <c r="E76" s="89"/>
    </row>
    <row r="77" spans="1:22" x14ac:dyDescent="0.2">
      <c r="D77" s="82"/>
      <c r="E77" s="89"/>
    </row>
  </sheetData>
  <sheetProtection selectLockedCells="1"/>
  <mergeCells count="5">
    <mergeCell ref="S1:V1"/>
    <mergeCell ref="B1:E1"/>
    <mergeCell ref="F1:I1"/>
    <mergeCell ref="J1:N1"/>
    <mergeCell ref="O1:R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23"/>
  </sheetPr>
  <dimension ref="A1:N87"/>
  <sheetViews>
    <sheetView showGridLines="0" zoomScaleNormal="100" workbookViewId="0">
      <pane ySplit="2" topLeftCell="A49" activePane="bottomLeft" state="frozen"/>
      <selection activeCell="K87" sqref="K87"/>
      <selection pane="bottomLeft" activeCell="F62" sqref="F62"/>
    </sheetView>
  </sheetViews>
  <sheetFormatPr defaultColWidth="9.140625" defaultRowHeight="12.75" x14ac:dyDescent="0.2"/>
  <cols>
    <col min="1" max="1" width="5.85546875" style="308" customWidth="1"/>
    <col min="2" max="2" width="7.5703125" style="309" customWidth="1"/>
    <col min="3" max="6" width="7.5703125" style="274" customWidth="1"/>
    <col min="7" max="7" width="6.5703125" style="274" customWidth="1"/>
    <col min="8" max="11" width="7.5703125" style="274" customWidth="1"/>
    <col min="12" max="16384" width="9.140625" style="260"/>
  </cols>
  <sheetData>
    <row r="1" spans="1:11" s="249" customFormat="1" ht="20.25" customHeight="1" x14ac:dyDescent="0.2">
      <c r="A1" s="248"/>
      <c r="B1" s="438" t="s">
        <v>4</v>
      </c>
      <c r="C1" s="439"/>
      <c r="D1" s="438" t="s">
        <v>5</v>
      </c>
      <c r="E1" s="439"/>
      <c r="F1" s="438" t="s">
        <v>6</v>
      </c>
      <c r="G1" s="439"/>
      <c r="H1" s="438" t="s">
        <v>7</v>
      </c>
      <c r="I1" s="439"/>
      <c r="J1" s="438" t="s">
        <v>8</v>
      </c>
      <c r="K1" s="439"/>
    </row>
    <row r="2" spans="1:11" s="253" customFormat="1" ht="42.75" customHeight="1" thickBot="1" x14ac:dyDescent="0.25">
      <c r="A2" s="250" t="s">
        <v>9</v>
      </c>
      <c r="B2" s="251" t="s">
        <v>56</v>
      </c>
      <c r="C2" s="252" t="s">
        <v>57</v>
      </c>
      <c r="D2" s="251" t="s">
        <v>56</v>
      </c>
      <c r="E2" s="252" t="s">
        <v>57</v>
      </c>
      <c r="F2" s="251" t="s">
        <v>56</v>
      </c>
      <c r="G2" s="252" t="s">
        <v>57</v>
      </c>
      <c r="H2" s="251" t="s">
        <v>56</v>
      </c>
      <c r="I2" s="252" t="s">
        <v>57</v>
      </c>
      <c r="J2" s="251" t="s">
        <v>56</v>
      </c>
      <c r="K2" s="252" t="s">
        <v>57</v>
      </c>
    </row>
    <row r="3" spans="1:11" ht="17.25" customHeight="1" thickTop="1" x14ac:dyDescent="0.2">
      <c r="A3" s="254">
        <v>1964</v>
      </c>
      <c r="B3" s="255"/>
      <c r="C3" s="256"/>
      <c r="D3" s="257"/>
      <c r="E3" s="256"/>
      <c r="F3" s="257"/>
      <c r="G3" s="258"/>
      <c r="H3" s="259"/>
      <c r="I3" s="256"/>
      <c r="J3" s="259"/>
      <c r="K3" s="256"/>
    </row>
    <row r="4" spans="1:11" x14ac:dyDescent="0.2">
      <c r="A4" s="254">
        <v>1965</v>
      </c>
      <c r="B4" s="255"/>
      <c r="C4" s="256"/>
      <c r="D4" s="257"/>
      <c r="E4" s="256"/>
      <c r="F4" s="257"/>
      <c r="G4" s="258"/>
      <c r="H4" s="259"/>
      <c r="I4" s="256"/>
      <c r="J4" s="259"/>
      <c r="K4" s="256"/>
    </row>
    <row r="5" spans="1:11" x14ac:dyDescent="0.2">
      <c r="A5" s="254">
        <v>1966</v>
      </c>
      <c r="B5" s="255"/>
      <c r="C5" s="256"/>
      <c r="D5" s="257"/>
      <c r="E5" s="256"/>
      <c r="F5" s="257"/>
      <c r="G5" s="258"/>
      <c r="H5" s="259"/>
      <c r="I5" s="256"/>
      <c r="J5" s="259"/>
      <c r="K5" s="256"/>
    </row>
    <row r="6" spans="1:11" x14ac:dyDescent="0.2">
      <c r="A6" s="254">
        <v>1967</v>
      </c>
      <c r="B6" s="255"/>
      <c r="C6" s="256"/>
      <c r="D6" s="257"/>
      <c r="E6" s="256"/>
      <c r="F6" s="257"/>
      <c r="G6" s="258"/>
      <c r="H6" s="259"/>
      <c r="I6" s="256"/>
      <c r="J6" s="259"/>
      <c r="K6" s="256"/>
    </row>
    <row r="7" spans="1:11" x14ac:dyDescent="0.2">
      <c r="A7" s="254">
        <v>1968</v>
      </c>
      <c r="B7" s="255"/>
      <c r="C7" s="256"/>
      <c r="D7" s="257"/>
      <c r="E7" s="256"/>
      <c r="F7" s="257"/>
      <c r="G7" s="258"/>
      <c r="H7" s="259"/>
      <c r="I7" s="256"/>
      <c r="J7" s="259"/>
      <c r="K7" s="256"/>
    </row>
    <row r="8" spans="1:11" x14ac:dyDescent="0.2">
      <c r="A8" s="254">
        <v>1969</v>
      </c>
      <c r="B8" s="255"/>
      <c r="C8" s="256"/>
      <c r="D8" s="257"/>
      <c r="E8" s="256"/>
      <c r="F8" s="257"/>
      <c r="G8" s="258"/>
      <c r="H8" s="259"/>
      <c r="I8" s="256"/>
      <c r="J8" s="259"/>
      <c r="K8" s="256"/>
    </row>
    <row r="9" spans="1:11" x14ac:dyDescent="0.2">
      <c r="A9" s="254">
        <v>1970</v>
      </c>
      <c r="B9" s="255"/>
      <c r="C9" s="256"/>
      <c r="D9" s="257"/>
      <c r="E9" s="256"/>
      <c r="F9" s="257"/>
      <c r="G9" s="258"/>
      <c r="H9" s="259"/>
      <c r="I9" s="256"/>
      <c r="J9" s="259"/>
      <c r="K9" s="256"/>
    </row>
    <row r="10" spans="1:11" x14ac:dyDescent="0.2">
      <c r="A10" s="254">
        <v>1971</v>
      </c>
      <c r="B10" s="255"/>
      <c r="C10" s="256"/>
      <c r="D10" s="257"/>
      <c r="E10" s="256"/>
      <c r="F10" s="257"/>
      <c r="G10" s="258"/>
      <c r="H10" s="259"/>
      <c r="I10" s="256"/>
      <c r="J10" s="259"/>
      <c r="K10" s="256"/>
    </row>
    <row r="11" spans="1:11" x14ac:dyDescent="0.2">
      <c r="A11" s="254">
        <v>1972</v>
      </c>
      <c r="B11" s="255"/>
      <c r="C11" s="256"/>
      <c r="D11" s="257"/>
      <c r="E11" s="256"/>
      <c r="F11" s="257"/>
      <c r="G11" s="258"/>
      <c r="H11" s="259"/>
      <c r="I11" s="256"/>
      <c r="J11" s="259"/>
      <c r="K11" s="256"/>
    </row>
    <row r="12" spans="1:11" x14ac:dyDescent="0.2">
      <c r="A12" s="254">
        <v>1973</v>
      </c>
      <c r="B12" s="255"/>
      <c r="C12" s="256"/>
      <c r="D12" s="257"/>
      <c r="E12" s="256"/>
      <c r="F12" s="257"/>
      <c r="G12" s="258"/>
      <c r="H12" s="259"/>
      <c r="I12" s="256"/>
      <c r="J12" s="259"/>
      <c r="K12" s="256"/>
    </row>
    <row r="13" spans="1:11" x14ac:dyDescent="0.2">
      <c r="A13" s="254">
        <v>1974</v>
      </c>
      <c r="B13" s="255"/>
      <c r="C13" s="256"/>
      <c r="D13" s="257"/>
      <c r="E13" s="256"/>
      <c r="F13" s="257"/>
      <c r="G13" s="258"/>
      <c r="H13" s="259"/>
      <c r="I13" s="256"/>
      <c r="J13" s="259"/>
      <c r="K13" s="256"/>
    </row>
    <row r="14" spans="1:11" x14ac:dyDescent="0.2">
      <c r="A14" s="254">
        <v>1975</v>
      </c>
      <c r="B14" s="255"/>
      <c r="C14" s="256"/>
      <c r="D14" s="257"/>
      <c r="E14" s="256"/>
      <c r="F14" s="257"/>
      <c r="G14" s="258"/>
      <c r="H14" s="259"/>
      <c r="I14" s="256"/>
      <c r="J14" s="259"/>
      <c r="K14" s="256"/>
    </row>
    <row r="15" spans="1:11" x14ac:dyDescent="0.2">
      <c r="A15" s="254">
        <v>1976</v>
      </c>
      <c r="B15" s="255"/>
      <c r="C15" s="256"/>
      <c r="D15" s="257"/>
      <c r="E15" s="256"/>
      <c r="F15" s="257"/>
      <c r="G15" s="258"/>
      <c r="H15" s="259"/>
      <c r="I15" s="256"/>
      <c r="J15" s="259"/>
      <c r="K15" s="256"/>
    </row>
    <row r="16" spans="1:11" x14ac:dyDescent="0.2">
      <c r="A16" s="254">
        <v>1977</v>
      </c>
      <c r="B16" s="255"/>
      <c r="C16" s="256"/>
      <c r="D16" s="257"/>
      <c r="E16" s="256"/>
      <c r="F16" s="257"/>
      <c r="G16" s="258"/>
      <c r="H16" s="259"/>
      <c r="I16" s="256"/>
      <c r="J16" s="259"/>
      <c r="K16" s="256"/>
    </row>
    <row r="17" spans="1:11" x14ac:dyDescent="0.2">
      <c r="A17" s="254">
        <v>1978</v>
      </c>
      <c r="B17" s="255"/>
      <c r="C17" s="256"/>
      <c r="D17" s="257"/>
      <c r="E17" s="256"/>
      <c r="F17" s="257"/>
      <c r="G17" s="258"/>
      <c r="H17" s="259"/>
      <c r="I17" s="256"/>
      <c r="J17" s="261"/>
      <c r="K17" s="256"/>
    </row>
    <row r="18" spans="1:11" x14ac:dyDescent="0.2">
      <c r="A18" s="254">
        <v>1979</v>
      </c>
      <c r="B18" s="255"/>
      <c r="C18" s="256"/>
      <c r="D18" s="257"/>
      <c r="E18" s="256"/>
      <c r="F18" s="257"/>
      <c r="G18" s="258"/>
      <c r="H18" s="259"/>
      <c r="I18" s="256"/>
      <c r="J18" s="261"/>
      <c r="K18" s="256"/>
    </row>
    <row r="19" spans="1:11" x14ac:dyDescent="0.2">
      <c r="A19" s="254">
        <v>1980</v>
      </c>
      <c r="B19" s="255"/>
      <c r="C19" s="256"/>
      <c r="D19" s="257"/>
      <c r="E19" s="256"/>
      <c r="F19" s="257"/>
      <c r="G19" s="258"/>
      <c r="H19" s="259"/>
      <c r="I19" s="256"/>
      <c r="J19" s="261"/>
      <c r="K19" s="256"/>
    </row>
    <row r="20" spans="1:11" x14ac:dyDescent="0.2">
      <c r="A20" s="254">
        <v>1981</v>
      </c>
      <c r="B20" s="255"/>
      <c r="C20" s="256"/>
      <c r="D20" s="257"/>
      <c r="E20" s="256"/>
      <c r="F20" s="257"/>
      <c r="G20" s="258"/>
      <c r="H20" s="259"/>
      <c r="I20" s="256"/>
      <c r="J20" s="262"/>
      <c r="K20" s="256"/>
    </row>
    <row r="21" spans="1:11" x14ac:dyDescent="0.2">
      <c r="A21" s="254">
        <v>1982</v>
      </c>
      <c r="B21" s="255"/>
      <c r="C21" s="256"/>
      <c r="D21" s="257"/>
      <c r="E21" s="256"/>
      <c r="F21" s="257"/>
      <c r="G21" s="258"/>
      <c r="H21" s="259"/>
      <c r="I21" s="256"/>
      <c r="J21" s="262"/>
      <c r="K21" s="256"/>
    </row>
    <row r="22" spans="1:11" x14ac:dyDescent="0.2">
      <c r="A22" s="254">
        <v>1983</v>
      </c>
      <c r="B22" s="255"/>
      <c r="C22" s="256"/>
      <c r="D22" s="257"/>
      <c r="E22" s="256"/>
      <c r="F22" s="257"/>
      <c r="G22" s="258"/>
      <c r="H22" s="259"/>
      <c r="I22" s="256"/>
      <c r="J22" s="262"/>
      <c r="K22" s="256"/>
    </row>
    <row r="23" spans="1:11" x14ac:dyDescent="0.2">
      <c r="A23" s="254">
        <v>1984</v>
      </c>
      <c r="B23" s="255"/>
      <c r="C23" s="256"/>
      <c r="D23" s="257"/>
      <c r="E23" s="256"/>
      <c r="F23" s="257"/>
      <c r="G23" s="258"/>
      <c r="H23" s="259"/>
      <c r="I23" s="256"/>
      <c r="J23" s="262"/>
      <c r="K23" s="256"/>
    </row>
    <row r="24" spans="1:11" x14ac:dyDescent="0.2">
      <c r="A24" s="254">
        <v>1985</v>
      </c>
      <c r="B24" s="255"/>
      <c r="C24" s="256"/>
      <c r="D24" s="257"/>
      <c r="E24" s="256"/>
      <c r="F24" s="257"/>
      <c r="G24" s="258"/>
      <c r="H24" s="259"/>
      <c r="I24" s="256"/>
      <c r="J24" s="262"/>
      <c r="K24" s="256"/>
    </row>
    <row r="25" spans="1:11" x14ac:dyDescent="0.2">
      <c r="A25" s="254">
        <v>1986</v>
      </c>
      <c r="B25" s="255"/>
      <c r="C25" s="256"/>
      <c r="D25" s="257"/>
      <c r="E25" s="256"/>
      <c r="F25" s="257"/>
      <c r="G25" s="258"/>
      <c r="H25" s="259"/>
      <c r="I25" s="256"/>
      <c r="J25" s="262"/>
      <c r="K25" s="256"/>
    </row>
    <row r="26" spans="1:11" x14ac:dyDescent="0.2">
      <c r="A26" s="254">
        <v>1987</v>
      </c>
      <c r="B26" s="255"/>
      <c r="C26" s="256"/>
      <c r="D26" s="257"/>
      <c r="E26" s="256"/>
      <c r="F26" s="257"/>
      <c r="G26" s="258"/>
      <c r="H26" s="259"/>
      <c r="I26" s="256"/>
      <c r="J26" s="262"/>
      <c r="K26" s="256"/>
    </row>
    <row r="27" spans="1:11" x14ac:dyDescent="0.2">
      <c r="A27" s="254">
        <v>1988</v>
      </c>
      <c r="B27" s="255"/>
      <c r="C27" s="256"/>
      <c r="D27" s="257"/>
      <c r="E27" s="256"/>
      <c r="F27" s="257"/>
      <c r="G27" s="258"/>
      <c r="H27" s="259"/>
      <c r="I27" s="256"/>
      <c r="J27" s="262"/>
      <c r="K27" s="256"/>
    </row>
    <row r="28" spans="1:11" x14ac:dyDescent="0.2">
      <c r="A28" s="254">
        <v>1989</v>
      </c>
      <c r="B28" s="255"/>
      <c r="C28" s="256"/>
      <c r="D28" s="257"/>
      <c r="E28" s="256"/>
      <c r="F28" s="257"/>
      <c r="G28" s="258"/>
      <c r="H28" s="259"/>
      <c r="I28" s="256"/>
      <c r="J28" s="262"/>
      <c r="K28" s="256"/>
    </row>
    <row r="29" spans="1:11" x14ac:dyDescent="0.2">
      <c r="A29" s="254">
        <v>1990</v>
      </c>
      <c r="B29" s="255"/>
      <c r="C29" s="256"/>
      <c r="D29" s="257"/>
      <c r="E29" s="256"/>
      <c r="F29" s="257"/>
      <c r="G29" s="258"/>
      <c r="H29" s="259"/>
      <c r="I29" s="256"/>
      <c r="J29" s="262"/>
      <c r="K29" s="256"/>
    </row>
    <row r="30" spans="1:11" x14ac:dyDescent="0.2">
      <c r="A30" s="254">
        <v>1991</v>
      </c>
      <c r="B30" s="255"/>
      <c r="C30" s="256"/>
      <c r="D30" s="257"/>
      <c r="E30" s="256"/>
      <c r="F30" s="257"/>
      <c r="G30" s="258"/>
      <c r="H30" s="259"/>
      <c r="I30" s="256"/>
      <c r="J30" s="262"/>
      <c r="K30" s="256"/>
    </row>
    <row r="31" spans="1:11" x14ac:dyDescent="0.2">
      <c r="A31" s="254">
        <v>1992</v>
      </c>
      <c r="B31" s="255"/>
      <c r="C31" s="256"/>
      <c r="D31" s="257"/>
      <c r="E31" s="256"/>
      <c r="F31" s="257"/>
      <c r="G31" s="258"/>
      <c r="H31" s="259"/>
      <c r="I31" s="256"/>
      <c r="J31" s="262"/>
      <c r="K31" s="256"/>
    </row>
    <row r="32" spans="1:11" x14ac:dyDescent="0.2">
      <c r="A32" s="254">
        <v>1993</v>
      </c>
      <c r="B32" s="255"/>
      <c r="C32" s="256"/>
      <c r="D32" s="257"/>
      <c r="E32" s="256"/>
      <c r="F32" s="257"/>
      <c r="G32" s="258"/>
      <c r="H32" s="259"/>
      <c r="I32" s="256"/>
      <c r="J32" s="262"/>
      <c r="K32" s="256"/>
    </row>
    <row r="33" spans="1:14" x14ac:dyDescent="0.2">
      <c r="A33" s="254">
        <v>1994</v>
      </c>
      <c r="B33" s="255"/>
      <c r="C33" s="256"/>
      <c r="D33" s="257"/>
      <c r="E33" s="256"/>
      <c r="F33" s="257"/>
      <c r="G33" s="258"/>
      <c r="H33" s="259"/>
      <c r="I33" s="256"/>
      <c r="J33" s="262"/>
      <c r="K33" s="256"/>
    </row>
    <row r="34" spans="1:14" x14ac:dyDescent="0.2">
      <c r="A34" s="254">
        <v>1995</v>
      </c>
      <c r="B34" s="255"/>
      <c r="C34" s="256"/>
      <c r="D34" s="257"/>
      <c r="E34" s="256"/>
      <c r="F34" s="257"/>
      <c r="G34" s="258"/>
      <c r="H34" s="259"/>
      <c r="I34" s="256"/>
      <c r="J34" s="262"/>
      <c r="K34" s="256"/>
    </row>
    <row r="35" spans="1:14" x14ac:dyDescent="0.2">
      <c r="A35" s="254">
        <v>1996</v>
      </c>
      <c r="B35" s="255"/>
      <c r="C35" s="256"/>
      <c r="D35" s="257"/>
      <c r="E35" s="256"/>
      <c r="F35" s="257"/>
      <c r="G35" s="258"/>
      <c r="H35" s="259"/>
      <c r="I35" s="256"/>
      <c r="J35" s="262"/>
      <c r="K35" s="256"/>
    </row>
    <row r="36" spans="1:14" x14ac:dyDescent="0.2">
      <c r="A36" s="254">
        <v>1997</v>
      </c>
      <c r="B36" s="255"/>
      <c r="C36" s="256"/>
      <c r="D36" s="257"/>
      <c r="E36" s="256"/>
      <c r="F36" s="257"/>
      <c r="G36" s="258"/>
      <c r="H36" s="259"/>
      <c r="I36" s="256"/>
      <c r="J36" s="262"/>
      <c r="K36" s="256"/>
    </row>
    <row r="37" spans="1:14" x14ac:dyDescent="0.2">
      <c r="A37" s="254">
        <v>1998</v>
      </c>
      <c r="B37" s="255"/>
      <c r="C37" s="256"/>
      <c r="D37" s="257"/>
      <c r="E37" s="256"/>
      <c r="F37" s="257"/>
      <c r="G37" s="258"/>
      <c r="H37" s="259"/>
      <c r="I37" s="256"/>
      <c r="J37" s="262"/>
      <c r="K37" s="256"/>
    </row>
    <row r="38" spans="1:14" x14ac:dyDescent="0.2">
      <c r="A38" s="263">
        <v>1999</v>
      </c>
      <c r="B38" s="264"/>
      <c r="C38" s="265"/>
      <c r="D38" s="266"/>
      <c r="E38" s="265"/>
      <c r="F38" s="266"/>
      <c r="G38" s="267"/>
      <c r="H38" s="268"/>
      <c r="I38" s="265"/>
      <c r="J38" s="269"/>
      <c r="K38" s="265"/>
    </row>
    <row r="39" spans="1:14" s="274" customFormat="1" ht="17.25" customHeight="1" x14ac:dyDescent="0.2">
      <c r="A39" s="254">
        <v>2000</v>
      </c>
      <c r="B39" s="270">
        <v>12.1</v>
      </c>
      <c r="C39" s="271">
        <v>14</v>
      </c>
      <c r="D39" s="270">
        <v>15.3</v>
      </c>
      <c r="E39" s="271">
        <v>12</v>
      </c>
      <c r="F39" s="270">
        <v>9.6999999999999993</v>
      </c>
      <c r="G39" s="272">
        <v>9</v>
      </c>
      <c r="H39" s="273">
        <v>8.8000000000000007</v>
      </c>
      <c r="I39" s="271">
        <v>8</v>
      </c>
      <c r="J39" s="273">
        <v>10.9</v>
      </c>
      <c r="K39" s="271">
        <v>10</v>
      </c>
    </row>
    <row r="40" spans="1:14" x14ac:dyDescent="0.2">
      <c r="A40" s="254">
        <v>2001</v>
      </c>
      <c r="B40" s="275">
        <v>10.5</v>
      </c>
      <c r="C40" s="271">
        <v>12</v>
      </c>
      <c r="D40" s="270">
        <v>16.8</v>
      </c>
      <c r="E40" s="271">
        <v>15</v>
      </c>
      <c r="F40" s="270">
        <v>11.1</v>
      </c>
      <c r="G40" s="272">
        <v>10</v>
      </c>
      <c r="H40" s="273">
        <v>10.6</v>
      </c>
      <c r="I40" s="271">
        <v>10</v>
      </c>
      <c r="J40" s="273">
        <v>12.1</v>
      </c>
      <c r="K40" s="271">
        <v>12</v>
      </c>
    </row>
    <row r="41" spans="1:14" x14ac:dyDescent="0.2">
      <c r="A41" s="254">
        <v>2002</v>
      </c>
      <c r="B41" s="275">
        <v>10.1</v>
      </c>
      <c r="C41" s="271">
        <v>13</v>
      </c>
      <c r="D41" s="270">
        <v>10.1</v>
      </c>
      <c r="E41" s="271">
        <v>9</v>
      </c>
      <c r="F41" s="270">
        <v>10.3</v>
      </c>
      <c r="G41" s="272">
        <v>9</v>
      </c>
      <c r="H41" s="273">
        <v>12.5</v>
      </c>
      <c r="I41" s="271">
        <v>12</v>
      </c>
      <c r="J41" s="273">
        <v>11</v>
      </c>
      <c r="K41" s="271">
        <v>10</v>
      </c>
    </row>
    <row r="42" spans="1:14" x14ac:dyDescent="0.2">
      <c r="A42" s="254">
        <v>2003</v>
      </c>
      <c r="B42" s="275">
        <v>11.6</v>
      </c>
      <c r="C42" s="271">
        <v>13</v>
      </c>
      <c r="D42" s="270">
        <v>16.3</v>
      </c>
      <c r="E42" s="271">
        <v>14</v>
      </c>
      <c r="F42" s="270">
        <v>12.6</v>
      </c>
      <c r="G42" s="272">
        <v>12</v>
      </c>
      <c r="H42" s="273">
        <v>10.6</v>
      </c>
      <c r="I42" s="271">
        <v>10</v>
      </c>
      <c r="J42" s="273">
        <v>12.7</v>
      </c>
      <c r="K42" s="271">
        <v>12</v>
      </c>
    </row>
    <row r="43" spans="1:14" x14ac:dyDescent="0.2">
      <c r="A43" s="254">
        <v>2004</v>
      </c>
      <c r="B43" s="270">
        <v>10.3</v>
      </c>
      <c r="C43" s="276">
        <v>12</v>
      </c>
      <c r="D43" s="277">
        <v>21</v>
      </c>
      <c r="E43" s="276">
        <v>20</v>
      </c>
      <c r="F43" s="270">
        <v>14.6</v>
      </c>
      <c r="G43" s="272">
        <v>14</v>
      </c>
      <c r="H43" s="273">
        <v>6.6</v>
      </c>
      <c r="I43" s="271">
        <v>7</v>
      </c>
      <c r="J43" s="273">
        <v>13.7</v>
      </c>
      <c r="K43" s="271">
        <v>14</v>
      </c>
    </row>
    <row r="44" spans="1:14" x14ac:dyDescent="0.2">
      <c r="A44" s="254">
        <v>2005</v>
      </c>
      <c r="B44" s="270">
        <v>7.6</v>
      </c>
      <c r="C44" s="271">
        <v>9</v>
      </c>
      <c r="D44" s="270">
        <v>21.1</v>
      </c>
      <c r="E44" s="278">
        <v>18</v>
      </c>
      <c r="F44" s="270">
        <v>15.1</v>
      </c>
      <c r="G44" s="272">
        <v>14</v>
      </c>
      <c r="H44" s="279">
        <v>13.7</v>
      </c>
      <c r="I44" s="278">
        <v>13</v>
      </c>
      <c r="J44" s="273">
        <v>14.2</v>
      </c>
      <c r="K44" s="271">
        <v>14</v>
      </c>
    </row>
    <row r="45" spans="1:14" x14ac:dyDescent="0.2">
      <c r="A45" s="254">
        <v>2006</v>
      </c>
      <c r="B45" s="270">
        <v>11</v>
      </c>
      <c r="C45" s="271">
        <v>14</v>
      </c>
      <c r="D45" s="270">
        <v>20.5</v>
      </c>
      <c r="E45" s="278">
        <v>19</v>
      </c>
      <c r="F45" s="270">
        <v>16.3</v>
      </c>
      <c r="G45" s="272">
        <v>15</v>
      </c>
      <c r="H45" s="270">
        <v>11.2</v>
      </c>
      <c r="I45" s="278">
        <v>11</v>
      </c>
      <c r="J45" s="270">
        <v>15.1</v>
      </c>
      <c r="K45" s="271">
        <v>15</v>
      </c>
      <c r="N45" s="280"/>
    </row>
    <row r="46" spans="1:14" x14ac:dyDescent="0.2">
      <c r="A46" s="254">
        <v>2007</v>
      </c>
      <c r="B46" s="270">
        <v>13.5</v>
      </c>
      <c r="C46" s="271">
        <v>16</v>
      </c>
      <c r="D46" s="270">
        <v>13.2</v>
      </c>
      <c r="E46" s="271">
        <v>12</v>
      </c>
      <c r="F46" s="270">
        <v>15.6</v>
      </c>
      <c r="G46" s="272">
        <v>15</v>
      </c>
      <c r="H46" s="270">
        <v>12.7</v>
      </c>
      <c r="I46" s="271">
        <v>15</v>
      </c>
      <c r="J46" s="270">
        <v>14.5</v>
      </c>
      <c r="K46" s="271">
        <v>14</v>
      </c>
    </row>
    <row r="47" spans="1:14" x14ac:dyDescent="0.2">
      <c r="A47" s="254">
        <v>2008</v>
      </c>
      <c r="B47" s="270">
        <v>16</v>
      </c>
      <c r="C47" s="271">
        <v>20</v>
      </c>
      <c r="D47" s="270">
        <v>18.399999999999999</v>
      </c>
      <c r="E47" s="271">
        <v>17</v>
      </c>
      <c r="F47" s="270">
        <v>16.899999999999999</v>
      </c>
      <c r="G47" s="272">
        <v>16</v>
      </c>
      <c r="H47" s="270">
        <v>14.1</v>
      </c>
      <c r="I47" s="271">
        <v>14</v>
      </c>
      <c r="J47" s="270">
        <v>16.5</v>
      </c>
      <c r="K47" s="271">
        <v>17</v>
      </c>
    </row>
    <row r="48" spans="1:14" x14ac:dyDescent="0.2">
      <c r="A48" s="254">
        <v>2009</v>
      </c>
      <c r="B48" s="270">
        <v>10</v>
      </c>
      <c r="C48" s="271">
        <v>13</v>
      </c>
      <c r="D48" s="270">
        <v>13.5</v>
      </c>
      <c r="E48" s="271">
        <v>13</v>
      </c>
      <c r="F48" s="277">
        <v>15.3</v>
      </c>
      <c r="G48" s="281">
        <v>15</v>
      </c>
      <c r="H48" s="277">
        <v>14.7</v>
      </c>
      <c r="I48" s="276">
        <v>15</v>
      </c>
      <c r="J48" s="277">
        <v>13.8</v>
      </c>
      <c r="K48" s="276">
        <v>14</v>
      </c>
    </row>
    <row r="49" spans="1:11" x14ac:dyDescent="0.2">
      <c r="A49" s="282">
        <v>2010</v>
      </c>
      <c r="B49" s="270">
        <v>13.8</v>
      </c>
      <c r="C49" s="271">
        <v>18</v>
      </c>
      <c r="D49" s="270">
        <v>11.5</v>
      </c>
      <c r="E49" s="271">
        <v>11</v>
      </c>
      <c r="F49" s="277">
        <v>12.5</v>
      </c>
      <c r="G49" s="281">
        <v>12</v>
      </c>
      <c r="H49" s="277">
        <v>12.4</v>
      </c>
      <c r="I49" s="276">
        <v>13</v>
      </c>
      <c r="J49" s="277">
        <v>12.6</v>
      </c>
      <c r="K49" s="276">
        <v>13</v>
      </c>
    </row>
    <row r="50" spans="1:11" s="288" customFormat="1" x14ac:dyDescent="0.2">
      <c r="A50" s="283">
        <v>2011</v>
      </c>
      <c r="B50" s="284">
        <v>13.8</v>
      </c>
      <c r="C50" s="285">
        <v>18</v>
      </c>
      <c r="D50" s="284">
        <v>18</v>
      </c>
      <c r="E50" s="285">
        <v>17</v>
      </c>
      <c r="F50" s="286">
        <v>15.8</v>
      </c>
      <c r="G50" s="287">
        <v>16</v>
      </c>
      <c r="H50" s="286">
        <v>12.4</v>
      </c>
      <c r="I50" s="278">
        <v>13</v>
      </c>
      <c r="J50" s="286">
        <v>15.2</v>
      </c>
      <c r="K50" s="278">
        <v>16</v>
      </c>
    </row>
    <row r="51" spans="1:11" s="288" customFormat="1" x14ac:dyDescent="0.2">
      <c r="A51" s="283">
        <v>2012</v>
      </c>
      <c r="B51" s="284">
        <v>10</v>
      </c>
      <c r="C51" s="285">
        <v>14</v>
      </c>
      <c r="D51" s="284">
        <v>21</v>
      </c>
      <c r="E51" s="285">
        <v>20</v>
      </c>
      <c r="F51" s="286">
        <v>15.6</v>
      </c>
      <c r="G51" s="287">
        <v>15</v>
      </c>
      <c r="H51" s="286">
        <v>11.7</v>
      </c>
      <c r="I51" s="278">
        <v>12</v>
      </c>
      <c r="J51" s="286">
        <v>14.7</v>
      </c>
      <c r="K51" s="278">
        <v>15</v>
      </c>
    </row>
    <row r="52" spans="1:11" s="288" customFormat="1" x14ac:dyDescent="0.2">
      <c r="A52" s="283">
        <v>2013</v>
      </c>
      <c r="B52" s="284">
        <v>11.8</v>
      </c>
      <c r="C52" s="285">
        <v>16</v>
      </c>
      <c r="D52" s="284">
        <v>17</v>
      </c>
      <c r="E52" s="285">
        <v>16</v>
      </c>
      <c r="F52" s="286">
        <v>16.7</v>
      </c>
      <c r="G52" s="287">
        <v>16</v>
      </c>
      <c r="H52" s="286">
        <v>17.2</v>
      </c>
      <c r="I52" s="278">
        <v>18</v>
      </c>
      <c r="J52" s="286">
        <v>15.7</v>
      </c>
      <c r="K52" s="278">
        <v>17</v>
      </c>
    </row>
    <row r="53" spans="1:11" s="288" customFormat="1" x14ac:dyDescent="0.2">
      <c r="A53" s="283">
        <v>2014</v>
      </c>
      <c r="B53" s="284">
        <v>18.600000000000001</v>
      </c>
      <c r="C53" s="285">
        <v>25</v>
      </c>
      <c r="D53" s="284">
        <v>21.5</v>
      </c>
      <c r="E53" s="285">
        <v>21</v>
      </c>
      <c r="F53" s="286">
        <v>15.3</v>
      </c>
      <c r="G53" s="287">
        <v>15</v>
      </c>
      <c r="H53" s="286">
        <v>15</v>
      </c>
      <c r="I53" s="278">
        <v>16</v>
      </c>
      <c r="J53" s="286">
        <v>17.3</v>
      </c>
      <c r="K53" s="278">
        <v>19</v>
      </c>
    </row>
    <row r="54" spans="1:11" s="288" customFormat="1" x14ac:dyDescent="0.2">
      <c r="A54" s="283">
        <v>2015</v>
      </c>
      <c r="B54" s="284">
        <v>18.7</v>
      </c>
      <c r="C54" s="285">
        <v>26</v>
      </c>
      <c r="D54" s="284">
        <v>19</v>
      </c>
      <c r="E54" s="285">
        <v>18</v>
      </c>
      <c r="F54" s="286">
        <v>17.8</v>
      </c>
      <c r="G54" s="287">
        <v>18</v>
      </c>
      <c r="H54" s="286">
        <v>11.1</v>
      </c>
      <c r="I54" s="278">
        <v>12</v>
      </c>
      <c r="J54" s="286">
        <v>17</v>
      </c>
      <c r="K54" s="278">
        <v>18</v>
      </c>
    </row>
    <row r="55" spans="1:11" s="288" customFormat="1" x14ac:dyDescent="0.2">
      <c r="A55" s="282">
        <v>2016</v>
      </c>
      <c r="B55" s="284">
        <v>19.100000000000001</v>
      </c>
      <c r="C55" s="285">
        <v>27</v>
      </c>
      <c r="D55" s="284">
        <v>21.9</v>
      </c>
      <c r="E55" s="285">
        <v>22</v>
      </c>
      <c r="F55" s="286">
        <v>16.600000000000001</v>
      </c>
      <c r="G55" s="287">
        <v>17</v>
      </c>
      <c r="H55" s="286">
        <v>17.8</v>
      </c>
      <c r="I55" s="278">
        <v>19</v>
      </c>
      <c r="J55" s="286">
        <v>18.5</v>
      </c>
      <c r="K55" s="278">
        <v>20</v>
      </c>
    </row>
    <row r="56" spans="1:11" s="289" customFormat="1" x14ac:dyDescent="0.2">
      <c r="A56" s="282">
        <v>2017</v>
      </c>
      <c r="B56" s="270">
        <v>20</v>
      </c>
      <c r="C56" s="271">
        <v>28</v>
      </c>
      <c r="D56" s="270">
        <v>18.600000000000001</v>
      </c>
      <c r="E56" s="271">
        <v>19</v>
      </c>
      <c r="F56" s="277">
        <v>15.5</v>
      </c>
      <c r="G56" s="281">
        <v>16</v>
      </c>
      <c r="H56" s="277">
        <v>24.4</v>
      </c>
      <c r="I56" s="276">
        <v>25</v>
      </c>
      <c r="J56" s="277">
        <v>18.8</v>
      </c>
      <c r="K56" s="276">
        <v>20</v>
      </c>
    </row>
    <row r="57" spans="1:11" s="289" customFormat="1" x14ac:dyDescent="0.2">
      <c r="A57" s="282">
        <v>2018</v>
      </c>
      <c r="B57" s="270">
        <f>43/2.4</f>
        <v>17.916666666666668</v>
      </c>
      <c r="C57" s="276">
        <v>26</v>
      </c>
      <c r="D57" s="277">
        <f>39/2.1</f>
        <v>18.571428571428569</v>
      </c>
      <c r="E57" s="276">
        <v>19</v>
      </c>
      <c r="F57" s="277">
        <f>63/3.8</f>
        <v>16.578947368421055</v>
      </c>
      <c r="G57" s="281">
        <v>17</v>
      </c>
      <c r="H57" s="277">
        <f>37/1.9</f>
        <v>19.473684210526315</v>
      </c>
      <c r="I57" s="276">
        <v>21</v>
      </c>
      <c r="J57" s="277">
        <f>182/10.2</f>
        <v>17.843137254901961</v>
      </c>
      <c r="K57" s="276">
        <v>20</v>
      </c>
    </row>
    <row r="58" spans="1:11" x14ac:dyDescent="0.2">
      <c r="A58" s="282">
        <v>2019</v>
      </c>
      <c r="B58" s="270">
        <f>44/2.4</f>
        <v>18.333333333333336</v>
      </c>
      <c r="C58" s="276">
        <v>28</v>
      </c>
      <c r="D58" s="277">
        <f>35/2.1</f>
        <v>16.666666666666664</v>
      </c>
      <c r="E58" s="276">
        <v>17</v>
      </c>
      <c r="F58" s="277">
        <f>84/3.8</f>
        <v>22.105263157894736</v>
      </c>
      <c r="G58" s="281">
        <v>24</v>
      </c>
      <c r="H58" s="277">
        <f>28/1.9</f>
        <v>14.736842105263159</v>
      </c>
      <c r="I58" s="276">
        <v>17</v>
      </c>
      <c r="J58" s="277">
        <f>190/10.2</f>
        <v>18.627450980392158</v>
      </c>
      <c r="K58" s="276">
        <v>22</v>
      </c>
    </row>
    <row r="59" spans="1:11" x14ac:dyDescent="0.2">
      <c r="A59" s="282">
        <v>2020</v>
      </c>
      <c r="B59" s="270">
        <f>52/2.5</f>
        <v>20.8</v>
      </c>
      <c r="C59" s="276">
        <v>27</v>
      </c>
      <c r="D59" s="277">
        <f>40/2.2</f>
        <v>18.18181818181818</v>
      </c>
      <c r="E59" s="276">
        <v>18</v>
      </c>
      <c r="F59" s="277">
        <f>57/3.8</f>
        <v>15</v>
      </c>
      <c r="G59" s="281">
        <v>15</v>
      </c>
      <c r="H59" s="277">
        <f>25/1.9</f>
        <v>13.157894736842106</v>
      </c>
      <c r="I59" s="276">
        <v>14</v>
      </c>
      <c r="J59" s="277">
        <f>174/10.4</f>
        <v>16.73076923076923</v>
      </c>
      <c r="K59" s="276">
        <v>18</v>
      </c>
    </row>
    <row r="60" spans="1:11" x14ac:dyDescent="0.2">
      <c r="A60" s="282">
        <v>2021</v>
      </c>
      <c r="B60" s="270">
        <f>48/2.5</f>
        <v>19.2</v>
      </c>
      <c r="C60" s="276">
        <v>30</v>
      </c>
      <c r="D60" s="277">
        <f>30/2.2</f>
        <v>13.636363636363635</v>
      </c>
      <c r="E60" s="276">
        <v>14</v>
      </c>
      <c r="F60" s="277">
        <f>71/3.9</f>
        <v>18.205128205128204</v>
      </c>
      <c r="G60" s="281">
        <v>19</v>
      </c>
      <c r="H60" s="277">
        <f>43/1.9</f>
        <v>22.631578947368421</v>
      </c>
      <c r="I60" s="276">
        <v>25</v>
      </c>
      <c r="J60" s="277">
        <f>192/10.5</f>
        <v>18.285714285714285</v>
      </c>
      <c r="K60" s="276">
        <v>21</v>
      </c>
    </row>
    <row r="61" spans="1:11" x14ac:dyDescent="0.2">
      <c r="A61" s="282">
        <v>2022</v>
      </c>
      <c r="B61" s="290">
        <f>44/2.5</f>
        <v>17.600000000000001</v>
      </c>
      <c r="C61" s="293">
        <v>26</v>
      </c>
      <c r="D61" s="291">
        <f>43/2.2</f>
        <v>19.545454545454543</v>
      </c>
      <c r="E61" s="293">
        <v>20</v>
      </c>
      <c r="F61" s="291">
        <f>79/3.9</f>
        <v>20.256410256410255</v>
      </c>
      <c r="G61" s="292">
        <v>21</v>
      </c>
      <c r="H61" s="291">
        <f>40/1.9</f>
        <v>21.05263157894737</v>
      </c>
      <c r="I61" s="293">
        <v>22</v>
      </c>
      <c r="J61" s="291">
        <f>206/10.5</f>
        <v>19.61904761904762</v>
      </c>
      <c r="K61" s="293">
        <v>22</v>
      </c>
    </row>
    <row r="62" spans="1:11" x14ac:dyDescent="0.2">
      <c r="A62" s="282">
        <v>2023</v>
      </c>
      <c r="B62" s="290">
        <f>69/2.5</f>
        <v>27.6</v>
      </c>
      <c r="C62" s="293">
        <v>41</v>
      </c>
      <c r="D62" s="291">
        <f>58/2.2</f>
        <v>26.36363636363636</v>
      </c>
      <c r="E62" s="293">
        <v>27</v>
      </c>
      <c r="F62" s="291">
        <f>99/3.9</f>
        <v>25.384615384615387</v>
      </c>
      <c r="G62" s="292">
        <v>26</v>
      </c>
      <c r="H62" s="291">
        <f>32/2</f>
        <v>16</v>
      </c>
      <c r="I62" s="293">
        <v>18</v>
      </c>
      <c r="J62" s="291">
        <f>258/10.6</f>
        <v>24.339622641509436</v>
      </c>
      <c r="K62" s="293">
        <v>27</v>
      </c>
    </row>
    <row r="63" spans="1:11" x14ac:dyDescent="0.2">
      <c r="A63" s="401">
        <v>2024</v>
      </c>
      <c r="B63" s="255"/>
      <c r="C63" s="294"/>
      <c r="D63" s="295"/>
      <c r="E63" s="296"/>
      <c r="F63" s="297"/>
      <c r="G63" s="298"/>
      <c r="H63" s="299"/>
      <c r="I63" s="300"/>
      <c r="J63" s="299"/>
      <c r="K63" s="300"/>
    </row>
    <row r="64" spans="1:11" x14ac:dyDescent="0.2">
      <c r="A64" s="254">
        <v>2025</v>
      </c>
      <c r="B64" s="255"/>
      <c r="C64" s="294"/>
      <c r="D64" s="295"/>
      <c r="E64" s="296"/>
      <c r="F64" s="297"/>
      <c r="G64" s="298"/>
      <c r="H64" s="299"/>
      <c r="I64" s="300"/>
      <c r="J64" s="299"/>
      <c r="K64" s="300"/>
    </row>
    <row r="65" spans="1:11" x14ac:dyDescent="0.2">
      <c r="A65" s="254">
        <v>2026</v>
      </c>
      <c r="B65" s="255"/>
      <c r="C65" s="294"/>
      <c r="D65" s="295"/>
      <c r="E65" s="296"/>
      <c r="F65" s="297"/>
      <c r="G65" s="298"/>
      <c r="H65" s="299"/>
      <c r="I65" s="300"/>
      <c r="J65" s="299"/>
      <c r="K65" s="300"/>
    </row>
    <row r="66" spans="1:11" x14ac:dyDescent="0.2">
      <c r="A66" s="254">
        <v>2027</v>
      </c>
      <c r="B66" s="255"/>
      <c r="C66" s="294"/>
      <c r="D66" s="295"/>
      <c r="E66" s="296"/>
      <c r="F66" s="297"/>
      <c r="G66" s="298"/>
      <c r="H66" s="299"/>
      <c r="I66" s="300"/>
      <c r="J66" s="299"/>
      <c r="K66" s="300"/>
    </row>
    <row r="67" spans="1:11" x14ac:dyDescent="0.2">
      <c r="A67" s="254">
        <v>2028</v>
      </c>
      <c r="B67" s="255"/>
      <c r="C67" s="294"/>
      <c r="D67" s="295"/>
      <c r="E67" s="296"/>
      <c r="F67" s="297"/>
      <c r="G67" s="298"/>
      <c r="H67" s="299"/>
      <c r="I67" s="300"/>
      <c r="J67" s="299"/>
      <c r="K67" s="300"/>
    </row>
    <row r="68" spans="1:11" x14ac:dyDescent="0.2">
      <c r="A68" s="254">
        <v>2029</v>
      </c>
      <c r="B68" s="255"/>
      <c r="C68" s="294"/>
      <c r="D68" s="295"/>
      <c r="E68" s="296"/>
      <c r="F68" s="297"/>
      <c r="G68" s="298"/>
      <c r="H68" s="299"/>
      <c r="I68" s="300"/>
      <c r="J68" s="299"/>
      <c r="K68" s="300"/>
    </row>
    <row r="69" spans="1:11" x14ac:dyDescent="0.2">
      <c r="A69" s="254">
        <v>2030</v>
      </c>
      <c r="B69" s="255"/>
      <c r="C69" s="294"/>
      <c r="D69" s="295"/>
      <c r="E69" s="296"/>
      <c r="F69" s="297"/>
      <c r="G69" s="298"/>
      <c r="H69" s="299"/>
      <c r="I69" s="300"/>
      <c r="J69" s="299"/>
      <c r="K69" s="300"/>
    </row>
    <row r="70" spans="1:11" x14ac:dyDescent="0.2">
      <c r="A70" s="263"/>
      <c r="B70" s="264"/>
      <c r="C70" s="301"/>
      <c r="D70" s="302"/>
      <c r="E70" s="303"/>
      <c r="F70" s="304"/>
      <c r="G70" s="305"/>
      <c r="H70" s="306"/>
      <c r="I70" s="307"/>
      <c r="J70" s="306"/>
      <c r="K70" s="307"/>
    </row>
    <row r="71" spans="1:11" x14ac:dyDescent="0.2">
      <c r="C71" s="310"/>
    </row>
    <row r="72" spans="1:11" x14ac:dyDescent="0.2">
      <c r="A72" s="311" t="s">
        <v>34</v>
      </c>
      <c r="C72" s="310"/>
    </row>
    <row r="73" spans="1:11" x14ac:dyDescent="0.2">
      <c r="C73" s="310"/>
    </row>
    <row r="74" spans="1:11" x14ac:dyDescent="0.2">
      <c r="C74" s="310"/>
    </row>
    <row r="75" spans="1:11" x14ac:dyDescent="0.2">
      <c r="C75" s="310"/>
    </row>
    <row r="87" spans="11:11" x14ac:dyDescent="0.2">
      <c r="K87" s="398"/>
    </row>
  </sheetData>
  <mergeCells count="5">
    <mergeCell ref="B1:C1"/>
    <mergeCell ref="D1:E1"/>
    <mergeCell ref="F1:G1"/>
    <mergeCell ref="H1:I1"/>
    <mergeCell ref="J1:K1"/>
  </mergeCells>
  <printOptions horizontalCentered="1"/>
  <pageMargins left="0.27559055118110237" right="0.55118110236220474" top="0.74803149606299213" bottom="0.62992125984251968" header="0.27559055118110237" footer="0.27559055118110237"/>
  <pageSetup paperSize="9" orientation="landscape" r:id="rId1"/>
  <headerFooter alignWithMargins="0">
    <oddHeader xml:space="preserve">&amp;C&amp;16Antal donatorer och transplantationer utförda i Sverige&amp;R&amp;11 2023-03-31 
</oddHeader>
    <oddFooter>&amp;CSida 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23"/>
  </sheetPr>
  <dimension ref="A1:K77"/>
  <sheetViews>
    <sheetView showGridLines="0" showZeros="0" tabSelected="1" zoomScaleNormal="100" workbookViewId="0">
      <pane ySplit="2" topLeftCell="A41" activePane="bottomLeft" state="frozen"/>
      <selection activeCell="K87" sqref="K87"/>
      <selection pane="bottomLeft" activeCell="R56" sqref="R56"/>
    </sheetView>
  </sheetViews>
  <sheetFormatPr defaultColWidth="8.85546875" defaultRowHeight="12.75" x14ac:dyDescent="0.2"/>
  <cols>
    <col min="1" max="1" width="5.5703125" style="1" customWidth="1"/>
    <col min="2" max="2" width="9.5703125" style="7" customWidth="1"/>
    <col min="3" max="3" width="14.42578125" style="7" customWidth="1"/>
    <col min="4" max="10" width="9.5703125" style="7" customWidth="1"/>
    <col min="11" max="11" width="12.42578125" style="7" bestFit="1" customWidth="1"/>
  </cols>
  <sheetData>
    <row r="1" spans="1:11" s="6" customFormat="1" ht="20.25" customHeight="1" x14ac:dyDescent="0.2">
      <c r="A1" s="16"/>
      <c r="B1" s="434" t="s">
        <v>4</v>
      </c>
      <c r="C1" s="437"/>
      <c r="D1" s="434" t="s">
        <v>5</v>
      </c>
      <c r="E1" s="437"/>
      <c r="F1" s="434" t="s">
        <v>6</v>
      </c>
      <c r="G1" s="437"/>
      <c r="H1" s="434" t="s">
        <v>7</v>
      </c>
      <c r="I1" s="437"/>
      <c r="J1" s="434" t="s">
        <v>8</v>
      </c>
      <c r="K1" s="436"/>
    </row>
    <row r="2" spans="1:11" s="2" customFormat="1" ht="25.5" customHeight="1" thickBot="1" x14ac:dyDescent="0.25">
      <c r="A2" s="96" t="s">
        <v>9</v>
      </c>
      <c r="B2" s="97" t="s">
        <v>0</v>
      </c>
      <c r="C2" s="96" t="s">
        <v>1</v>
      </c>
      <c r="D2" s="97" t="s">
        <v>0</v>
      </c>
      <c r="E2" s="96" t="s">
        <v>1</v>
      </c>
      <c r="F2" s="93" t="s">
        <v>0</v>
      </c>
      <c r="G2" s="96" t="s">
        <v>1</v>
      </c>
      <c r="H2" s="97" t="s">
        <v>0</v>
      </c>
      <c r="I2" s="96" t="s">
        <v>1</v>
      </c>
      <c r="J2" s="97" t="s">
        <v>0</v>
      </c>
      <c r="K2" s="94" t="s">
        <v>1</v>
      </c>
    </row>
    <row r="3" spans="1:11" ht="17.25" customHeight="1" thickTop="1" x14ac:dyDescent="0.2">
      <c r="A3" s="17">
        <v>1964</v>
      </c>
      <c r="B3" s="61">
        <v>4</v>
      </c>
      <c r="C3" s="53">
        <f>0+B3</f>
        <v>4</v>
      </c>
      <c r="D3" s="61"/>
      <c r="E3" s="53"/>
      <c r="F3" s="51"/>
      <c r="G3" s="53"/>
      <c r="H3" s="61"/>
      <c r="I3" s="53"/>
      <c r="J3" s="61">
        <f>B3+D3+F3+H3</f>
        <v>4</v>
      </c>
      <c r="K3" s="54">
        <f>0+J3</f>
        <v>4</v>
      </c>
    </row>
    <row r="4" spans="1:11" x14ac:dyDescent="0.2">
      <c r="A4" s="17">
        <v>1965</v>
      </c>
      <c r="B4" s="61">
        <v>6</v>
      </c>
      <c r="C4" s="53">
        <f>C3+B4</f>
        <v>10</v>
      </c>
      <c r="D4" s="61"/>
      <c r="E4" s="53"/>
      <c r="F4" s="51">
        <v>2</v>
      </c>
      <c r="G4" s="53">
        <f>0+F4</f>
        <v>2</v>
      </c>
      <c r="H4" s="61"/>
      <c r="I4" s="53"/>
      <c r="J4" s="61">
        <f t="shared" ref="J4:J43" si="0">B4+D4+F4+H4</f>
        <v>8</v>
      </c>
      <c r="K4" s="54">
        <f>K3+J4</f>
        <v>12</v>
      </c>
    </row>
    <row r="5" spans="1:11" x14ac:dyDescent="0.2">
      <c r="A5" s="17">
        <v>1966</v>
      </c>
      <c r="B5" s="61">
        <v>11</v>
      </c>
      <c r="C5" s="53">
        <f t="shared" ref="C5:C44" si="1">C4+B5</f>
        <v>21</v>
      </c>
      <c r="D5" s="61"/>
      <c r="E5" s="53"/>
      <c r="F5" s="51">
        <v>12</v>
      </c>
      <c r="G5" s="53">
        <f t="shared" ref="G5:G44" si="2">G4+F5</f>
        <v>14</v>
      </c>
      <c r="H5" s="61"/>
      <c r="I5" s="53"/>
      <c r="J5" s="61">
        <f t="shared" si="0"/>
        <v>23</v>
      </c>
      <c r="K5" s="54">
        <f t="shared" ref="K5:K43" si="3">K4+J5</f>
        <v>35</v>
      </c>
    </row>
    <row r="6" spans="1:11" x14ac:dyDescent="0.2">
      <c r="A6" s="17">
        <v>1967</v>
      </c>
      <c r="B6" s="61">
        <v>4</v>
      </c>
      <c r="C6" s="53">
        <f t="shared" si="1"/>
        <v>25</v>
      </c>
      <c r="D6" s="61"/>
      <c r="E6" s="53"/>
      <c r="F6" s="51">
        <v>13</v>
      </c>
      <c r="G6" s="53">
        <f t="shared" si="2"/>
        <v>27</v>
      </c>
      <c r="H6" s="61"/>
      <c r="I6" s="53"/>
      <c r="J6" s="61">
        <f t="shared" si="0"/>
        <v>17</v>
      </c>
      <c r="K6" s="54">
        <f t="shared" si="3"/>
        <v>52</v>
      </c>
    </row>
    <row r="7" spans="1:11" x14ac:dyDescent="0.2">
      <c r="A7" s="17">
        <v>1968</v>
      </c>
      <c r="B7" s="61">
        <v>3</v>
      </c>
      <c r="C7" s="53">
        <f t="shared" si="1"/>
        <v>28</v>
      </c>
      <c r="D7" s="61"/>
      <c r="E7" s="53"/>
      <c r="F7" s="51">
        <v>12</v>
      </c>
      <c r="G7" s="53">
        <f t="shared" si="2"/>
        <v>39</v>
      </c>
      <c r="H7" s="61">
        <v>1</v>
      </c>
      <c r="I7" s="53">
        <f>0+H7</f>
        <v>1</v>
      </c>
      <c r="J7" s="61">
        <f t="shared" si="0"/>
        <v>16</v>
      </c>
      <c r="K7" s="54">
        <f t="shared" si="3"/>
        <v>68</v>
      </c>
    </row>
    <row r="8" spans="1:11" x14ac:dyDescent="0.2">
      <c r="A8" s="17">
        <v>1969</v>
      </c>
      <c r="B8" s="61">
        <v>2</v>
      </c>
      <c r="C8" s="53">
        <f t="shared" si="1"/>
        <v>30</v>
      </c>
      <c r="D8" s="61"/>
      <c r="E8" s="53"/>
      <c r="F8" s="51">
        <v>5</v>
      </c>
      <c r="G8" s="53">
        <f t="shared" si="2"/>
        <v>44</v>
      </c>
      <c r="H8" s="61"/>
      <c r="I8" s="53">
        <f>I7+H8</f>
        <v>1</v>
      </c>
      <c r="J8" s="61">
        <f t="shared" si="0"/>
        <v>7</v>
      </c>
      <c r="K8" s="54">
        <f t="shared" si="3"/>
        <v>75</v>
      </c>
    </row>
    <row r="9" spans="1:11" x14ac:dyDescent="0.2">
      <c r="A9" s="17">
        <v>1970</v>
      </c>
      <c r="B9" s="61">
        <v>2</v>
      </c>
      <c r="C9" s="53">
        <f t="shared" si="1"/>
        <v>32</v>
      </c>
      <c r="D9" s="61"/>
      <c r="E9" s="53"/>
      <c r="F9" s="51">
        <v>2</v>
      </c>
      <c r="G9" s="53">
        <f t="shared" si="2"/>
        <v>46</v>
      </c>
      <c r="H9" s="61"/>
      <c r="I9" s="53">
        <f t="shared" ref="I9:I44" si="4">I8+H9</f>
        <v>1</v>
      </c>
      <c r="J9" s="61">
        <f t="shared" si="0"/>
        <v>4</v>
      </c>
      <c r="K9" s="54">
        <f t="shared" si="3"/>
        <v>79</v>
      </c>
    </row>
    <row r="10" spans="1:11" x14ac:dyDescent="0.2">
      <c r="A10" s="17">
        <v>1971</v>
      </c>
      <c r="B10" s="61">
        <v>7</v>
      </c>
      <c r="C10" s="53">
        <f t="shared" si="1"/>
        <v>39</v>
      </c>
      <c r="D10" s="61"/>
      <c r="E10" s="53"/>
      <c r="F10" s="51">
        <v>9</v>
      </c>
      <c r="G10" s="53">
        <f t="shared" si="2"/>
        <v>55</v>
      </c>
      <c r="H10" s="61"/>
      <c r="I10" s="53">
        <f t="shared" si="4"/>
        <v>1</v>
      </c>
      <c r="J10" s="61">
        <f t="shared" si="0"/>
        <v>16</v>
      </c>
      <c r="K10" s="54">
        <f t="shared" si="3"/>
        <v>95</v>
      </c>
    </row>
    <row r="11" spans="1:11" x14ac:dyDescent="0.2">
      <c r="A11" s="17">
        <v>1972</v>
      </c>
      <c r="B11" s="61">
        <v>14</v>
      </c>
      <c r="C11" s="53">
        <f t="shared" si="1"/>
        <v>53</v>
      </c>
      <c r="D11" s="61"/>
      <c r="E11" s="53"/>
      <c r="F11" s="51">
        <v>11</v>
      </c>
      <c r="G11" s="53">
        <f t="shared" si="2"/>
        <v>66</v>
      </c>
      <c r="H11" s="61">
        <v>1</v>
      </c>
      <c r="I11" s="53">
        <f t="shared" si="4"/>
        <v>2</v>
      </c>
      <c r="J11" s="61">
        <f t="shared" si="0"/>
        <v>26</v>
      </c>
      <c r="K11" s="54">
        <f t="shared" si="3"/>
        <v>121</v>
      </c>
    </row>
    <row r="12" spans="1:11" x14ac:dyDescent="0.2">
      <c r="A12" s="17">
        <v>1973</v>
      </c>
      <c r="B12" s="61">
        <v>9</v>
      </c>
      <c r="C12" s="53">
        <f t="shared" si="1"/>
        <v>62</v>
      </c>
      <c r="D12" s="61"/>
      <c r="E12" s="53"/>
      <c r="F12" s="51">
        <v>21</v>
      </c>
      <c r="G12" s="53">
        <f t="shared" si="2"/>
        <v>87</v>
      </c>
      <c r="H12" s="61"/>
      <c r="I12" s="53">
        <f t="shared" si="4"/>
        <v>2</v>
      </c>
      <c r="J12" s="61">
        <f t="shared" si="0"/>
        <v>30</v>
      </c>
      <c r="K12" s="54">
        <f t="shared" si="3"/>
        <v>151</v>
      </c>
    </row>
    <row r="13" spans="1:11" x14ac:dyDescent="0.2">
      <c r="A13" s="17">
        <v>1974</v>
      </c>
      <c r="B13" s="61">
        <v>7</v>
      </c>
      <c r="C13" s="53">
        <f t="shared" si="1"/>
        <v>69</v>
      </c>
      <c r="D13" s="61">
        <v>1</v>
      </c>
      <c r="E13" s="53">
        <f>0+D13</f>
        <v>1</v>
      </c>
      <c r="F13" s="51">
        <v>15</v>
      </c>
      <c r="G13" s="53">
        <f t="shared" si="2"/>
        <v>102</v>
      </c>
      <c r="H13" s="61">
        <v>2</v>
      </c>
      <c r="I13" s="53">
        <f t="shared" si="4"/>
        <v>4</v>
      </c>
      <c r="J13" s="61">
        <f t="shared" si="0"/>
        <v>25</v>
      </c>
      <c r="K13" s="54">
        <f t="shared" si="3"/>
        <v>176</v>
      </c>
    </row>
    <row r="14" spans="1:11" x14ac:dyDescent="0.2">
      <c r="A14" s="17">
        <v>1975</v>
      </c>
      <c r="B14" s="61">
        <v>14</v>
      </c>
      <c r="C14" s="53">
        <f t="shared" si="1"/>
        <v>83</v>
      </c>
      <c r="D14" s="61">
        <v>3</v>
      </c>
      <c r="E14" s="53">
        <f t="shared" ref="E14:E44" si="5">E13+D14</f>
        <v>4</v>
      </c>
      <c r="F14" s="51">
        <v>9</v>
      </c>
      <c r="G14" s="53">
        <f t="shared" si="2"/>
        <v>111</v>
      </c>
      <c r="H14" s="61">
        <v>2</v>
      </c>
      <c r="I14" s="53">
        <f t="shared" si="4"/>
        <v>6</v>
      </c>
      <c r="J14" s="61">
        <f t="shared" si="0"/>
        <v>28</v>
      </c>
      <c r="K14" s="54">
        <f t="shared" si="3"/>
        <v>204</v>
      </c>
    </row>
    <row r="15" spans="1:11" x14ac:dyDescent="0.2">
      <c r="A15" s="17">
        <v>1976</v>
      </c>
      <c r="B15" s="61">
        <v>14</v>
      </c>
      <c r="C15" s="53">
        <f t="shared" si="1"/>
        <v>97</v>
      </c>
      <c r="D15" s="61">
        <v>1</v>
      </c>
      <c r="E15" s="53">
        <f t="shared" si="5"/>
        <v>5</v>
      </c>
      <c r="F15" s="51">
        <v>11</v>
      </c>
      <c r="G15" s="53">
        <f t="shared" si="2"/>
        <v>122</v>
      </c>
      <c r="H15" s="61">
        <v>3</v>
      </c>
      <c r="I15" s="53">
        <f t="shared" si="4"/>
        <v>9</v>
      </c>
      <c r="J15" s="61">
        <f t="shared" si="0"/>
        <v>29</v>
      </c>
      <c r="K15" s="54">
        <f t="shared" si="3"/>
        <v>233</v>
      </c>
    </row>
    <row r="16" spans="1:11" x14ac:dyDescent="0.2">
      <c r="A16" s="17">
        <v>1977</v>
      </c>
      <c r="B16" s="61">
        <v>9</v>
      </c>
      <c r="C16" s="53">
        <f t="shared" si="1"/>
        <v>106</v>
      </c>
      <c r="D16" s="61">
        <v>1</v>
      </c>
      <c r="E16" s="53">
        <f t="shared" si="5"/>
        <v>6</v>
      </c>
      <c r="F16" s="51">
        <v>14</v>
      </c>
      <c r="G16" s="53">
        <f t="shared" si="2"/>
        <v>136</v>
      </c>
      <c r="H16" s="61">
        <v>3</v>
      </c>
      <c r="I16" s="53">
        <f t="shared" si="4"/>
        <v>12</v>
      </c>
      <c r="J16" s="61">
        <f t="shared" si="0"/>
        <v>27</v>
      </c>
      <c r="K16" s="54">
        <f t="shared" si="3"/>
        <v>260</v>
      </c>
    </row>
    <row r="17" spans="1:11" x14ac:dyDescent="0.2">
      <c r="A17" s="17">
        <v>1978</v>
      </c>
      <c r="B17" s="61">
        <v>14</v>
      </c>
      <c r="C17" s="53">
        <f t="shared" si="1"/>
        <v>120</v>
      </c>
      <c r="D17" s="61"/>
      <c r="E17" s="53">
        <f t="shared" si="5"/>
        <v>6</v>
      </c>
      <c r="F17" s="51">
        <v>29</v>
      </c>
      <c r="G17" s="53">
        <f t="shared" si="2"/>
        <v>165</v>
      </c>
      <c r="H17" s="61">
        <v>3</v>
      </c>
      <c r="I17" s="53">
        <f t="shared" si="4"/>
        <v>15</v>
      </c>
      <c r="J17" s="61">
        <f t="shared" si="0"/>
        <v>46</v>
      </c>
      <c r="K17" s="54">
        <f t="shared" si="3"/>
        <v>306</v>
      </c>
    </row>
    <row r="18" spans="1:11" x14ac:dyDescent="0.2">
      <c r="A18" s="17">
        <v>1979</v>
      </c>
      <c r="B18" s="61">
        <v>17</v>
      </c>
      <c r="C18" s="53">
        <f t="shared" si="1"/>
        <v>137</v>
      </c>
      <c r="D18" s="61">
        <v>2</v>
      </c>
      <c r="E18" s="53">
        <f t="shared" si="5"/>
        <v>8</v>
      </c>
      <c r="F18" s="51">
        <v>23</v>
      </c>
      <c r="G18" s="53">
        <f t="shared" si="2"/>
        <v>188</v>
      </c>
      <c r="H18" s="61">
        <v>11</v>
      </c>
      <c r="I18" s="53">
        <f t="shared" si="4"/>
        <v>26</v>
      </c>
      <c r="J18" s="61">
        <f t="shared" si="0"/>
        <v>53</v>
      </c>
      <c r="K18" s="54">
        <f t="shared" si="3"/>
        <v>359</v>
      </c>
    </row>
    <row r="19" spans="1:11" x14ac:dyDescent="0.2">
      <c r="A19" s="17">
        <v>1980</v>
      </c>
      <c r="B19" s="61">
        <v>25</v>
      </c>
      <c r="C19" s="53">
        <f t="shared" si="1"/>
        <v>162</v>
      </c>
      <c r="D19" s="61">
        <v>1</v>
      </c>
      <c r="E19" s="53">
        <f t="shared" si="5"/>
        <v>9</v>
      </c>
      <c r="F19" s="51">
        <v>28</v>
      </c>
      <c r="G19" s="53">
        <f t="shared" si="2"/>
        <v>216</v>
      </c>
      <c r="H19" s="61">
        <v>11</v>
      </c>
      <c r="I19" s="53">
        <f t="shared" si="4"/>
        <v>37</v>
      </c>
      <c r="J19" s="61">
        <f t="shared" si="0"/>
        <v>65</v>
      </c>
      <c r="K19" s="54">
        <f t="shared" si="3"/>
        <v>424</v>
      </c>
    </row>
    <row r="20" spans="1:11" x14ac:dyDescent="0.2">
      <c r="A20" s="17">
        <v>1981</v>
      </c>
      <c r="B20" s="61">
        <v>16</v>
      </c>
      <c r="C20" s="53">
        <f t="shared" si="1"/>
        <v>178</v>
      </c>
      <c r="D20" s="61">
        <v>2</v>
      </c>
      <c r="E20" s="53">
        <f t="shared" si="5"/>
        <v>11</v>
      </c>
      <c r="F20" s="51">
        <v>30</v>
      </c>
      <c r="G20" s="53">
        <f t="shared" si="2"/>
        <v>246</v>
      </c>
      <c r="H20" s="61">
        <v>15</v>
      </c>
      <c r="I20" s="53">
        <f t="shared" si="4"/>
        <v>52</v>
      </c>
      <c r="J20" s="61">
        <f t="shared" si="0"/>
        <v>63</v>
      </c>
      <c r="K20" s="54">
        <f t="shared" si="3"/>
        <v>487</v>
      </c>
    </row>
    <row r="21" spans="1:11" x14ac:dyDescent="0.2">
      <c r="A21" s="17">
        <v>1982</v>
      </c>
      <c r="B21" s="61">
        <v>14</v>
      </c>
      <c r="C21" s="53">
        <f t="shared" si="1"/>
        <v>192</v>
      </c>
      <c r="D21" s="61">
        <v>3</v>
      </c>
      <c r="E21" s="53">
        <f t="shared" si="5"/>
        <v>14</v>
      </c>
      <c r="F21" s="51">
        <v>22</v>
      </c>
      <c r="G21" s="53">
        <f t="shared" si="2"/>
        <v>268</v>
      </c>
      <c r="H21" s="61">
        <v>13</v>
      </c>
      <c r="I21" s="53">
        <f t="shared" si="4"/>
        <v>65</v>
      </c>
      <c r="J21" s="61">
        <f t="shared" si="0"/>
        <v>52</v>
      </c>
      <c r="K21" s="54">
        <f t="shared" si="3"/>
        <v>539</v>
      </c>
    </row>
    <row r="22" spans="1:11" x14ac:dyDescent="0.2">
      <c r="A22" s="17">
        <v>1983</v>
      </c>
      <c r="B22" s="61">
        <v>16</v>
      </c>
      <c r="C22" s="53">
        <f t="shared" si="1"/>
        <v>208</v>
      </c>
      <c r="D22" s="61">
        <v>4</v>
      </c>
      <c r="E22" s="53">
        <f t="shared" si="5"/>
        <v>18</v>
      </c>
      <c r="F22" s="51">
        <v>38</v>
      </c>
      <c r="G22" s="53">
        <f t="shared" si="2"/>
        <v>306</v>
      </c>
      <c r="H22" s="61">
        <v>18</v>
      </c>
      <c r="I22" s="53">
        <f t="shared" si="4"/>
        <v>83</v>
      </c>
      <c r="J22" s="61">
        <f t="shared" si="0"/>
        <v>76</v>
      </c>
      <c r="K22" s="54">
        <f t="shared" si="3"/>
        <v>615</v>
      </c>
    </row>
    <row r="23" spans="1:11" x14ac:dyDescent="0.2">
      <c r="A23" s="17">
        <v>1984</v>
      </c>
      <c r="B23" s="61">
        <v>20</v>
      </c>
      <c r="C23" s="53">
        <f t="shared" si="1"/>
        <v>228</v>
      </c>
      <c r="D23" s="61">
        <v>6</v>
      </c>
      <c r="E23" s="53">
        <f t="shared" si="5"/>
        <v>24</v>
      </c>
      <c r="F23" s="51">
        <v>25</v>
      </c>
      <c r="G23" s="53">
        <f t="shared" si="2"/>
        <v>331</v>
      </c>
      <c r="H23" s="61">
        <v>18</v>
      </c>
      <c r="I23" s="53">
        <f t="shared" si="4"/>
        <v>101</v>
      </c>
      <c r="J23" s="61">
        <f t="shared" si="0"/>
        <v>69</v>
      </c>
      <c r="K23" s="54">
        <f t="shared" si="3"/>
        <v>684</v>
      </c>
    </row>
    <row r="24" spans="1:11" x14ac:dyDescent="0.2">
      <c r="A24" s="17">
        <v>1985</v>
      </c>
      <c r="B24" s="61">
        <v>20</v>
      </c>
      <c r="C24" s="53">
        <f t="shared" si="1"/>
        <v>248</v>
      </c>
      <c r="D24" s="61">
        <v>4</v>
      </c>
      <c r="E24" s="53">
        <f t="shared" si="5"/>
        <v>28</v>
      </c>
      <c r="F24" s="51">
        <v>30</v>
      </c>
      <c r="G24" s="53">
        <f t="shared" si="2"/>
        <v>361</v>
      </c>
      <c r="H24" s="61">
        <v>12</v>
      </c>
      <c r="I24" s="53">
        <f t="shared" si="4"/>
        <v>113</v>
      </c>
      <c r="J24" s="61">
        <f t="shared" si="0"/>
        <v>66</v>
      </c>
      <c r="K24" s="54">
        <f t="shared" si="3"/>
        <v>750</v>
      </c>
    </row>
    <row r="25" spans="1:11" x14ac:dyDescent="0.2">
      <c r="A25" s="17">
        <v>1986</v>
      </c>
      <c r="B25" s="61">
        <v>17</v>
      </c>
      <c r="C25" s="53">
        <f t="shared" si="1"/>
        <v>265</v>
      </c>
      <c r="D25" s="61">
        <v>7</v>
      </c>
      <c r="E25" s="53">
        <f t="shared" si="5"/>
        <v>35</v>
      </c>
      <c r="F25" s="51">
        <v>23</v>
      </c>
      <c r="G25" s="53">
        <f t="shared" si="2"/>
        <v>384</v>
      </c>
      <c r="H25" s="61">
        <v>15</v>
      </c>
      <c r="I25" s="53">
        <f t="shared" si="4"/>
        <v>128</v>
      </c>
      <c r="J25" s="61">
        <f t="shared" si="0"/>
        <v>62</v>
      </c>
      <c r="K25" s="54">
        <f t="shared" si="3"/>
        <v>812</v>
      </c>
    </row>
    <row r="26" spans="1:11" x14ac:dyDescent="0.2">
      <c r="A26" s="17">
        <v>1987</v>
      </c>
      <c r="B26" s="61">
        <v>24</v>
      </c>
      <c r="C26" s="53">
        <f t="shared" si="1"/>
        <v>289</v>
      </c>
      <c r="D26" s="61">
        <v>14</v>
      </c>
      <c r="E26" s="53">
        <f t="shared" si="5"/>
        <v>49</v>
      </c>
      <c r="F26" s="51">
        <v>39</v>
      </c>
      <c r="G26" s="53">
        <f t="shared" si="2"/>
        <v>423</v>
      </c>
      <c r="H26" s="61">
        <v>9</v>
      </c>
      <c r="I26" s="53">
        <f t="shared" si="4"/>
        <v>137</v>
      </c>
      <c r="J26" s="61">
        <f t="shared" si="0"/>
        <v>86</v>
      </c>
      <c r="K26" s="54">
        <f t="shared" si="3"/>
        <v>898</v>
      </c>
    </row>
    <row r="27" spans="1:11" x14ac:dyDescent="0.2">
      <c r="A27" s="17">
        <v>1988</v>
      </c>
      <c r="B27" s="61">
        <v>23</v>
      </c>
      <c r="C27" s="53">
        <f t="shared" si="1"/>
        <v>312</v>
      </c>
      <c r="D27" s="61">
        <v>10</v>
      </c>
      <c r="E27" s="53">
        <f t="shared" si="5"/>
        <v>59</v>
      </c>
      <c r="F27" s="51">
        <v>33</v>
      </c>
      <c r="G27" s="53">
        <f t="shared" si="2"/>
        <v>456</v>
      </c>
      <c r="H27" s="61">
        <v>20</v>
      </c>
      <c r="I27" s="53">
        <f t="shared" si="4"/>
        <v>157</v>
      </c>
      <c r="J27" s="61">
        <f t="shared" si="0"/>
        <v>86</v>
      </c>
      <c r="K27" s="54">
        <f t="shared" si="3"/>
        <v>984</v>
      </c>
    </row>
    <row r="28" spans="1:11" x14ac:dyDescent="0.2">
      <c r="A28" s="17">
        <v>1989</v>
      </c>
      <c r="B28" s="61">
        <v>17</v>
      </c>
      <c r="C28" s="53">
        <f t="shared" si="1"/>
        <v>329</v>
      </c>
      <c r="D28" s="61">
        <v>18</v>
      </c>
      <c r="E28" s="53">
        <f t="shared" si="5"/>
        <v>77</v>
      </c>
      <c r="F28" s="51">
        <v>34</v>
      </c>
      <c r="G28" s="53">
        <f t="shared" si="2"/>
        <v>490</v>
      </c>
      <c r="H28" s="61">
        <v>12</v>
      </c>
      <c r="I28" s="53">
        <f t="shared" si="4"/>
        <v>169</v>
      </c>
      <c r="J28" s="61">
        <f t="shared" si="0"/>
        <v>81</v>
      </c>
      <c r="K28" s="54">
        <f t="shared" si="3"/>
        <v>1065</v>
      </c>
    </row>
    <row r="29" spans="1:11" x14ac:dyDescent="0.2">
      <c r="A29" s="17">
        <v>1990</v>
      </c>
      <c r="B29" s="61">
        <v>24</v>
      </c>
      <c r="C29" s="53">
        <f t="shared" si="1"/>
        <v>353</v>
      </c>
      <c r="D29" s="61">
        <v>5</v>
      </c>
      <c r="E29" s="53">
        <f t="shared" si="5"/>
        <v>82</v>
      </c>
      <c r="F29" s="51">
        <v>35</v>
      </c>
      <c r="G29" s="53">
        <f t="shared" si="2"/>
        <v>525</v>
      </c>
      <c r="H29" s="61">
        <v>14</v>
      </c>
      <c r="I29" s="53">
        <f t="shared" si="4"/>
        <v>183</v>
      </c>
      <c r="J29" s="61">
        <f t="shared" si="0"/>
        <v>78</v>
      </c>
      <c r="K29" s="54">
        <f t="shared" si="3"/>
        <v>1143</v>
      </c>
    </row>
    <row r="30" spans="1:11" x14ac:dyDescent="0.2">
      <c r="A30" s="17">
        <v>1991</v>
      </c>
      <c r="B30" s="61">
        <v>21</v>
      </c>
      <c r="C30" s="53">
        <f t="shared" si="1"/>
        <v>374</v>
      </c>
      <c r="D30" s="61">
        <v>13</v>
      </c>
      <c r="E30" s="53">
        <f t="shared" si="5"/>
        <v>95</v>
      </c>
      <c r="F30" s="51">
        <v>31</v>
      </c>
      <c r="G30" s="53">
        <f t="shared" si="2"/>
        <v>556</v>
      </c>
      <c r="H30" s="61">
        <v>16</v>
      </c>
      <c r="I30" s="53">
        <f t="shared" si="4"/>
        <v>199</v>
      </c>
      <c r="J30" s="61">
        <f t="shared" si="0"/>
        <v>81</v>
      </c>
      <c r="K30" s="54">
        <f t="shared" si="3"/>
        <v>1224</v>
      </c>
    </row>
    <row r="31" spans="1:11" x14ac:dyDescent="0.2">
      <c r="A31" s="17">
        <v>1992</v>
      </c>
      <c r="B31" s="61">
        <v>28</v>
      </c>
      <c r="C31" s="53">
        <f t="shared" si="1"/>
        <v>402</v>
      </c>
      <c r="D31" s="61">
        <v>15</v>
      </c>
      <c r="E31" s="53">
        <f t="shared" si="5"/>
        <v>110</v>
      </c>
      <c r="F31" s="51">
        <v>24</v>
      </c>
      <c r="G31" s="53">
        <f t="shared" si="2"/>
        <v>580</v>
      </c>
      <c r="H31" s="61">
        <v>21</v>
      </c>
      <c r="I31" s="53">
        <f t="shared" si="4"/>
        <v>220</v>
      </c>
      <c r="J31" s="61">
        <f t="shared" si="0"/>
        <v>88</v>
      </c>
      <c r="K31" s="54">
        <f t="shared" si="3"/>
        <v>1312</v>
      </c>
    </row>
    <row r="32" spans="1:11" x14ac:dyDescent="0.2">
      <c r="A32" s="17">
        <v>1993</v>
      </c>
      <c r="B32" s="61">
        <v>31</v>
      </c>
      <c r="C32" s="53">
        <f t="shared" si="1"/>
        <v>433</v>
      </c>
      <c r="D32" s="61">
        <v>20</v>
      </c>
      <c r="E32" s="53">
        <f t="shared" si="5"/>
        <v>130</v>
      </c>
      <c r="F32" s="51">
        <v>34</v>
      </c>
      <c r="G32" s="53">
        <f t="shared" si="2"/>
        <v>614</v>
      </c>
      <c r="H32" s="61">
        <v>17</v>
      </c>
      <c r="I32" s="53">
        <f t="shared" si="4"/>
        <v>237</v>
      </c>
      <c r="J32" s="61">
        <f t="shared" si="0"/>
        <v>102</v>
      </c>
      <c r="K32" s="54">
        <f t="shared" si="3"/>
        <v>1414</v>
      </c>
    </row>
    <row r="33" spans="1:11" x14ac:dyDescent="0.2">
      <c r="A33" s="17">
        <v>1994</v>
      </c>
      <c r="B33" s="61">
        <v>27</v>
      </c>
      <c r="C33" s="53">
        <f t="shared" si="1"/>
        <v>460</v>
      </c>
      <c r="D33" s="61">
        <v>14</v>
      </c>
      <c r="E33" s="53">
        <f t="shared" si="5"/>
        <v>144</v>
      </c>
      <c r="F33" s="51">
        <v>37</v>
      </c>
      <c r="G33" s="53">
        <f t="shared" si="2"/>
        <v>651</v>
      </c>
      <c r="H33" s="61">
        <v>14</v>
      </c>
      <c r="I33" s="53">
        <f t="shared" si="4"/>
        <v>251</v>
      </c>
      <c r="J33" s="61">
        <f t="shared" si="0"/>
        <v>92</v>
      </c>
      <c r="K33" s="54">
        <f t="shared" si="3"/>
        <v>1506</v>
      </c>
    </row>
    <row r="34" spans="1:11" x14ac:dyDescent="0.2">
      <c r="A34" s="17">
        <v>1995</v>
      </c>
      <c r="B34" s="61">
        <v>22</v>
      </c>
      <c r="C34" s="53">
        <f t="shared" si="1"/>
        <v>482</v>
      </c>
      <c r="D34" s="61">
        <v>21</v>
      </c>
      <c r="E34" s="53">
        <f t="shared" si="5"/>
        <v>165</v>
      </c>
      <c r="F34" s="51">
        <v>19</v>
      </c>
      <c r="G34" s="53">
        <f t="shared" si="2"/>
        <v>670</v>
      </c>
      <c r="H34" s="61">
        <v>18</v>
      </c>
      <c r="I34" s="53">
        <f t="shared" si="4"/>
        <v>269</v>
      </c>
      <c r="J34" s="61">
        <f t="shared" si="0"/>
        <v>80</v>
      </c>
      <c r="K34" s="54">
        <f t="shared" si="3"/>
        <v>1586</v>
      </c>
    </row>
    <row r="35" spans="1:11" x14ac:dyDescent="0.2">
      <c r="A35" s="17">
        <v>1996</v>
      </c>
      <c r="B35" s="61">
        <v>31</v>
      </c>
      <c r="C35" s="53">
        <f t="shared" si="1"/>
        <v>513</v>
      </c>
      <c r="D35" s="61">
        <v>25</v>
      </c>
      <c r="E35" s="53">
        <f t="shared" si="5"/>
        <v>190</v>
      </c>
      <c r="F35" s="51">
        <v>26</v>
      </c>
      <c r="G35" s="53">
        <f t="shared" si="2"/>
        <v>696</v>
      </c>
      <c r="H35" s="61">
        <v>17</v>
      </c>
      <c r="I35" s="53">
        <f t="shared" si="4"/>
        <v>286</v>
      </c>
      <c r="J35" s="61">
        <f t="shared" si="0"/>
        <v>99</v>
      </c>
      <c r="K35" s="54">
        <f t="shared" si="3"/>
        <v>1685</v>
      </c>
    </row>
    <row r="36" spans="1:11" x14ac:dyDescent="0.2">
      <c r="A36" s="17">
        <v>1997</v>
      </c>
      <c r="B36" s="61">
        <v>32</v>
      </c>
      <c r="C36" s="53">
        <f t="shared" si="1"/>
        <v>545</v>
      </c>
      <c r="D36" s="61">
        <v>17</v>
      </c>
      <c r="E36" s="53">
        <f t="shared" si="5"/>
        <v>207</v>
      </c>
      <c r="F36" s="51">
        <v>52</v>
      </c>
      <c r="G36" s="53">
        <f t="shared" si="2"/>
        <v>748</v>
      </c>
      <c r="H36" s="61">
        <v>22</v>
      </c>
      <c r="I36" s="53">
        <f t="shared" si="4"/>
        <v>308</v>
      </c>
      <c r="J36" s="61">
        <f t="shared" si="0"/>
        <v>123</v>
      </c>
      <c r="K36" s="54">
        <f t="shared" si="3"/>
        <v>1808</v>
      </c>
    </row>
    <row r="37" spans="1:11" x14ac:dyDescent="0.2">
      <c r="A37" s="17">
        <v>1998</v>
      </c>
      <c r="B37" s="61">
        <v>34</v>
      </c>
      <c r="C37" s="53">
        <f t="shared" si="1"/>
        <v>579</v>
      </c>
      <c r="D37" s="61">
        <v>29</v>
      </c>
      <c r="E37" s="53">
        <f t="shared" si="5"/>
        <v>236</v>
      </c>
      <c r="F37" s="51">
        <v>34</v>
      </c>
      <c r="G37" s="53">
        <f t="shared" si="2"/>
        <v>782</v>
      </c>
      <c r="H37" s="61">
        <v>23</v>
      </c>
      <c r="I37" s="53">
        <f t="shared" si="4"/>
        <v>331</v>
      </c>
      <c r="J37" s="61">
        <f t="shared" si="0"/>
        <v>120</v>
      </c>
      <c r="K37" s="54">
        <f t="shared" si="3"/>
        <v>1928</v>
      </c>
    </row>
    <row r="38" spans="1:11" x14ac:dyDescent="0.2">
      <c r="A38" s="18">
        <v>1999</v>
      </c>
      <c r="B38" s="81">
        <v>23</v>
      </c>
      <c r="C38" s="56">
        <f t="shared" si="1"/>
        <v>602</v>
      </c>
      <c r="D38" s="81">
        <v>20</v>
      </c>
      <c r="E38" s="57">
        <f t="shared" si="5"/>
        <v>256</v>
      </c>
      <c r="F38" s="55">
        <v>46</v>
      </c>
      <c r="G38" s="56">
        <f t="shared" si="2"/>
        <v>828</v>
      </c>
      <c r="H38" s="81">
        <v>16</v>
      </c>
      <c r="I38" s="57">
        <f t="shared" si="4"/>
        <v>347</v>
      </c>
      <c r="J38" s="81">
        <f t="shared" si="0"/>
        <v>105</v>
      </c>
      <c r="K38" s="58">
        <f t="shared" si="3"/>
        <v>2033</v>
      </c>
    </row>
    <row r="39" spans="1:11" s="7" customFormat="1" x14ac:dyDescent="0.2">
      <c r="A39" s="17">
        <v>2000</v>
      </c>
      <c r="B39" s="61">
        <v>24</v>
      </c>
      <c r="C39" s="53">
        <f t="shared" si="1"/>
        <v>626</v>
      </c>
      <c r="D39" s="61">
        <v>17</v>
      </c>
      <c r="E39" s="53">
        <f t="shared" si="5"/>
        <v>273</v>
      </c>
      <c r="F39" s="51">
        <v>37</v>
      </c>
      <c r="G39" s="53">
        <f t="shared" si="2"/>
        <v>865</v>
      </c>
      <c r="H39" s="61">
        <v>12</v>
      </c>
      <c r="I39" s="53">
        <f t="shared" si="4"/>
        <v>359</v>
      </c>
      <c r="J39" s="61">
        <f t="shared" si="0"/>
        <v>90</v>
      </c>
      <c r="K39" s="54">
        <f t="shared" si="3"/>
        <v>2123</v>
      </c>
    </row>
    <row r="40" spans="1:11" x14ac:dyDescent="0.2">
      <c r="A40" s="17">
        <v>2001</v>
      </c>
      <c r="B40" s="61">
        <v>32</v>
      </c>
      <c r="C40" s="53">
        <f t="shared" si="1"/>
        <v>658</v>
      </c>
      <c r="D40" s="61">
        <v>19</v>
      </c>
      <c r="E40" s="53">
        <f t="shared" si="5"/>
        <v>292</v>
      </c>
      <c r="F40" s="51">
        <v>42</v>
      </c>
      <c r="G40" s="53">
        <f t="shared" si="2"/>
        <v>907</v>
      </c>
      <c r="H40" s="61">
        <v>25</v>
      </c>
      <c r="I40" s="53">
        <f t="shared" si="4"/>
        <v>384</v>
      </c>
      <c r="J40" s="61">
        <f t="shared" si="0"/>
        <v>118</v>
      </c>
      <c r="K40" s="54">
        <f t="shared" si="3"/>
        <v>2241</v>
      </c>
    </row>
    <row r="41" spans="1:11" x14ac:dyDescent="0.2">
      <c r="A41" s="17">
        <v>2002</v>
      </c>
      <c r="B41" s="61">
        <v>36</v>
      </c>
      <c r="C41" s="53">
        <f t="shared" si="1"/>
        <v>694</v>
      </c>
      <c r="D41" s="61">
        <v>21</v>
      </c>
      <c r="E41" s="53">
        <f t="shared" si="5"/>
        <v>313</v>
      </c>
      <c r="F41" s="51">
        <v>36</v>
      </c>
      <c r="G41" s="53">
        <f t="shared" si="2"/>
        <v>943</v>
      </c>
      <c r="H41" s="61">
        <v>21</v>
      </c>
      <c r="I41" s="53">
        <f t="shared" si="4"/>
        <v>405</v>
      </c>
      <c r="J41" s="61">
        <f t="shared" si="0"/>
        <v>114</v>
      </c>
      <c r="K41" s="54">
        <f t="shared" si="3"/>
        <v>2355</v>
      </c>
    </row>
    <row r="42" spans="1:11" x14ac:dyDescent="0.2">
      <c r="A42" s="17">
        <v>2003</v>
      </c>
      <c r="B42" s="61">
        <v>37</v>
      </c>
      <c r="C42" s="53">
        <f t="shared" si="1"/>
        <v>731</v>
      </c>
      <c r="D42" s="61">
        <v>23</v>
      </c>
      <c r="E42" s="53">
        <f t="shared" si="5"/>
        <v>336</v>
      </c>
      <c r="F42" s="51">
        <v>43</v>
      </c>
      <c r="G42" s="53">
        <f t="shared" si="2"/>
        <v>986</v>
      </c>
      <c r="H42" s="61">
        <v>27</v>
      </c>
      <c r="I42" s="53">
        <f t="shared" si="4"/>
        <v>432</v>
      </c>
      <c r="J42" s="61">
        <f t="shared" si="0"/>
        <v>130</v>
      </c>
      <c r="K42" s="54">
        <f t="shared" si="3"/>
        <v>2485</v>
      </c>
    </row>
    <row r="43" spans="1:11" x14ac:dyDescent="0.2">
      <c r="A43" s="17">
        <v>2004</v>
      </c>
      <c r="B43" s="61">
        <v>31</v>
      </c>
      <c r="C43" s="53">
        <f t="shared" si="1"/>
        <v>762</v>
      </c>
      <c r="D43" s="61">
        <v>32</v>
      </c>
      <c r="E43" s="53">
        <f t="shared" si="5"/>
        <v>368</v>
      </c>
      <c r="F43" s="51">
        <v>56</v>
      </c>
      <c r="G43" s="53">
        <f t="shared" si="2"/>
        <v>1042</v>
      </c>
      <c r="H43" s="61">
        <v>23</v>
      </c>
      <c r="I43" s="53">
        <f t="shared" si="4"/>
        <v>455</v>
      </c>
      <c r="J43" s="61">
        <f t="shared" si="0"/>
        <v>142</v>
      </c>
      <c r="K43" s="54">
        <f t="shared" si="3"/>
        <v>2627</v>
      </c>
    </row>
    <row r="44" spans="1:11" x14ac:dyDescent="0.2">
      <c r="A44" s="17">
        <v>2005</v>
      </c>
      <c r="B44" s="61">
        <f>13+8+8+8</f>
        <v>37</v>
      </c>
      <c r="C44" s="53">
        <f t="shared" si="1"/>
        <v>799</v>
      </c>
      <c r="D44" s="61">
        <f>12+12+4+15</f>
        <v>43</v>
      </c>
      <c r="E44" s="53">
        <f t="shared" si="5"/>
        <v>411</v>
      </c>
      <c r="F44" s="63">
        <f>22+22+6+18</f>
        <v>68</v>
      </c>
      <c r="G44" s="53">
        <f t="shared" si="2"/>
        <v>1110</v>
      </c>
      <c r="H44" s="139">
        <f>5+9+2+8</f>
        <v>24</v>
      </c>
      <c r="I44" s="131">
        <f t="shared" si="4"/>
        <v>479</v>
      </c>
      <c r="J44" s="61">
        <f t="shared" ref="J44:J49" si="6">B44+D44+F44+H44</f>
        <v>172</v>
      </c>
      <c r="K44" s="54">
        <f t="shared" ref="K44:K49" si="7">K43+J44</f>
        <v>2799</v>
      </c>
    </row>
    <row r="45" spans="1:11" x14ac:dyDescent="0.2">
      <c r="A45" s="17">
        <v>2006</v>
      </c>
      <c r="B45" s="61">
        <f>8+11+4+9</f>
        <v>32</v>
      </c>
      <c r="C45" s="53">
        <f t="shared" ref="C45:C50" si="8">C44+B45</f>
        <v>831</v>
      </c>
      <c r="D45" s="146">
        <f>6+7+0+9</f>
        <v>22</v>
      </c>
      <c r="E45" s="53">
        <f t="shared" ref="E45:E50" si="9">E44+D45</f>
        <v>433</v>
      </c>
      <c r="F45" s="63">
        <f>11+17+6+16</f>
        <v>50</v>
      </c>
      <c r="G45" s="53">
        <f t="shared" ref="G45:G50" si="10">G44+F45</f>
        <v>1160</v>
      </c>
      <c r="H45" s="139">
        <f>8+6+4+9</f>
        <v>27</v>
      </c>
      <c r="I45" s="131">
        <f t="shared" ref="I45:I50" si="11">I44+H45</f>
        <v>506</v>
      </c>
      <c r="J45" s="61">
        <f t="shared" si="6"/>
        <v>131</v>
      </c>
      <c r="K45" s="54">
        <f t="shared" si="7"/>
        <v>2930</v>
      </c>
    </row>
    <row r="46" spans="1:11" x14ac:dyDescent="0.2">
      <c r="A46" s="17">
        <v>2007</v>
      </c>
      <c r="B46" s="61">
        <f>9+13+6+9</f>
        <v>37</v>
      </c>
      <c r="C46" s="53">
        <f t="shared" si="8"/>
        <v>868</v>
      </c>
      <c r="D46" s="146">
        <f>8+3+2+2</f>
        <v>15</v>
      </c>
      <c r="E46" s="53">
        <f t="shared" si="9"/>
        <v>448</v>
      </c>
      <c r="F46" s="63">
        <f>13+16+6+13</f>
        <v>48</v>
      </c>
      <c r="G46" s="53">
        <f t="shared" si="10"/>
        <v>1208</v>
      </c>
      <c r="H46" s="139">
        <f>5+7+3+8</f>
        <v>23</v>
      </c>
      <c r="I46" s="131">
        <f t="shared" si="11"/>
        <v>529</v>
      </c>
      <c r="J46" s="61">
        <f t="shared" si="6"/>
        <v>123</v>
      </c>
      <c r="K46" s="54">
        <f t="shared" si="7"/>
        <v>3053</v>
      </c>
    </row>
    <row r="47" spans="1:11" x14ac:dyDescent="0.2">
      <c r="A47" s="17">
        <v>2008</v>
      </c>
      <c r="B47" s="61">
        <f>8+6+5+7</f>
        <v>26</v>
      </c>
      <c r="C47" s="53">
        <f t="shared" si="8"/>
        <v>894</v>
      </c>
      <c r="D47" s="146">
        <f>7+6+5+11</f>
        <v>29</v>
      </c>
      <c r="E47" s="53">
        <f t="shared" si="9"/>
        <v>477</v>
      </c>
      <c r="F47" s="63">
        <f>11+19+7+20</f>
        <v>57</v>
      </c>
      <c r="G47" s="53">
        <f t="shared" si="10"/>
        <v>1265</v>
      </c>
      <c r="H47" s="139">
        <f>10+4+3+7</f>
        <v>24</v>
      </c>
      <c r="I47" s="131">
        <f t="shared" si="11"/>
        <v>553</v>
      </c>
      <c r="J47" s="61">
        <f t="shared" si="6"/>
        <v>136</v>
      </c>
      <c r="K47" s="54">
        <f t="shared" si="7"/>
        <v>3189</v>
      </c>
    </row>
    <row r="48" spans="1:11" x14ac:dyDescent="0.2">
      <c r="A48" s="17">
        <v>2009</v>
      </c>
      <c r="B48" s="61">
        <f>8+13+5+9</f>
        <v>35</v>
      </c>
      <c r="C48" s="53">
        <f t="shared" si="8"/>
        <v>929</v>
      </c>
      <c r="D48" s="146">
        <f>13+11+7+16</f>
        <v>47</v>
      </c>
      <c r="E48" s="53">
        <f t="shared" si="9"/>
        <v>524</v>
      </c>
      <c r="F48" s="139">
        <f>11+13+7+14</f>
        <v>45</v>
      </c>
      <c r="G48" s="53">
        <f t="shared" si="10"/>
        <v>1310</v>
      </c>
      <c r="H48" s="139">
        <f>10+11+5+10</f>
        <v>36</v>
      </c>
      <c r="I48" s="131">
        <f t="shared" si="11"/>
        <v>589</v>
      </c>
      <c r="J48" s="61">
        <f t="shared" si="6"/>
        <v>163</v>
      </c>
      <c r="K48" s="54">
        <f t="shared" si="7"/>
        <v>3352</v>
      </c>
    </row>
    <row r="49" spans="1:11" x14ac:dyDescent="0.2">
      <c r="A49" s="17">
        <v>2010</v>
      </c>
      <c r="B49" s="61">
        <f>7+10+5+9</f>
        <v>31</v>
      </c>
      <c r="C49" s="53">
        <f t="shared" si="8"/>
        <v>960</v>
      </c>
      <c r="D49" s="146">
        <f>9+11+8+9</f>
        <v>37</v>
      </c>
      <c r="E49" s="53">
        <f t="shared" si="9"/>
        <v>561</v>
      </c>
      <c r="F49" s="139">
        <f>17+17+10+15</f>
        <v>59</v>
      </c>
      <c r="G49" s="53">
        <f t="shared" si="10"/>
        <v>1369</v>
      </c>
      <c r="H49" s="139">
        <f>14+11+5+11</f>
        <v>41</v>
      </c>
      <c r="I49" s="131">
        <f t="shared" si="11"/>
        <v>630</v>
      </c>
      <c r="J49" s="61">
        <f t="shared" si="6"/>
        <v>168</v>
      </c>
      <c r="K49" s="54">
        <f t="shared" si="7"/>
        <v>3520</v>
      </c>
    </row>
    <row r="50" spans="1:11" s="156" customFormat="1" x14ac:dyDescent="0.2">
      <c r="A50" s="157">
        <v>2011</v>
      </c>
      <c r="B50" s="158">
        <f>14+10+8+11</f>
        <v>43</v>
      </c>
      <c r="C50" s="126">
        <f t="shared" si="8"/>
        <v>1003</v>
      </c>
      <c r="D50" s="159">
        <f>10+19+5+13</f>
        <v>47</v>
      </c>
      <c r="E50" s="126">
        <f t="shared" si="9"/>
        <v>608</v>
      </c>
      <c r="F50" s="160">
        <f>19+19+9+19</f>
        <v>66</v>
      </c>
      <c r="G50" s="126">
        <f t="shared" si="10"/>
        <v>1435</v>
      </c>
      <c r="H50" s="160">
        <f>7+12+5+4</f>
        <v>28</v>
      </c>
      <c r="I50" s="155">
        <f t="shared" si="11"/>
        <v>658</v>
      </c>
      <c r="J50" s="158">
        <f t="shared" ref="J50:J55" si="12">B50+D50+F50+H50</f>
        <v>184</v>
      </c>
      <c r="K50" s="133">
        <f t="shared" ref="K50:K55" si="13">K49+J50</f>
        <v>3704</v>
      </c>
    </row>
    <row r="51" spans="1:11" s="156" customFormat="1" x14ac:dyDescent="0.2">
      <c r="A51" s="157">
        <v>2012</v>
      </c>
      <c r="B51" s="158">
        <f>9+10+6+7</f>
        <v>32</v>
      </c>
      <c r="C51" s="126">
        <f t="shared" ref="C51:C56" si="14">C50+B51</f>
        <v>1035</v>
      </c>
      <c r="D51" s="159">
        <f>12+11+5+11</f>
        <v>39</v>
      </c>
      <c r="E51" s="126">
        <f t="shared" ref="E51:E56" si="15">E50+D51</f>
        <v>647</v>
      </c>
      <c r="F51" s="160">
        <f>21+18+10+14</f>
        <v>63</v>
      </c>
      <c r="G51" s="126">
        <f t="shared" ref="G51:G56" si="16">G50+F51</f>
        <v>1498</v>
      </c>
      <c r="H51" s="160">
        <f>4+7+3+7</f>
        <v>21</v>
      </c>
      <c r="I51" s="155">
        <f t="shared" ref="I51:I56" si="17">I50+H51</f>
        <v>679</v>
      </c>
      <c r="J51" s="158">
        <f t="shared" si="12"/>
        <v>155</v>
      </c>
      <c r="K51" s="133">
        <f t="shared" si="13"/>
        <v>3859</v>
      </c>
    </row>
    <row r="52" spans="1:11" s="208" customFormat="1" x14ac:dyDescent="0.2">
      <c r="A52" s="154">
        <v>2013</v>
      </c>
      <c r="B52" s="159">
        <f>10+11+1+10</f>
        <v>32</v>
      </c>
      <c r="C52" s="155">
        <f t="shared" si="14"/>
        <v>1067</v>
      </c>
      <c r="D52" s="159">
        <f>9+15+8+15</f>
        <v>47</v>
      </c>
      <c r="E52" s="155">
        <f t="shared" si="15"/>
        <v>694</v>
      </c>
      <c r="F52" s="160">
        <f>18+19+5+8</f>
        <v>50</v>
      </c>
      <c r="G52" s="155">
        <f t="shared" si="16"/>
        <v>1548</v>
      </c>
      <c r="H52" s="160">
        <f>7+6+3+6</f>
        <v>22</v>
      </c>
      <c r="I52" s="155">
        <f t="shared" si="17"/>
        <v>701</v>
      </c>
      <c r="J52" s="159">
        <f t="shared" si="12"/>
        <v>151</v>
      </c>
      <c r="K52" s="141">
        <f t="shared" si="13"/>
        <v>4010</v>
      </c>
    </row>
    <row r="53" spans="1:11" s="191" customFormat="1" x14ac:dyDescent="0.2">
      <c r="A53" s="154">
        <v>2014</v>
      </c>
      <c r="B53" s="159">
        <f>9+12+5+10</f>
        <v>36</v>
      </c>
      <c r="C53" s="155">
        <f t="shared" si="14"/>
        <v>1103</v>
      </c>
      <c r="D53" s="159">
        <f>12+7+6+13</f>
        <v>38</v>
      </c>
      <c r="E53" s="155">
        <f t="shared" si="15"/>
        <v>732</v>
      </c>
      <c r="F53" s="160">
        <f>14+11+8+21</f>
        <v>54</v>
      </c>
      <c r="G53" s="155">
        <f t="shared" si="16"/>
        <v>1602</v>
      </c>
      <c r="H53" s="160">
        <f>4+8+3+8</f>
        <v>23</v>
      </c>
      <c r="I53" s="155">
        <f t="shared" si="17"/>
        <v>724</v>
      </c>
      <c r="J53" s="159">
        <f t="shared" si="12"/>
        <v>151</v>
      </c>
      <c r="K53" s="141">
        <f t="shared" si="13"/>
        <v>4161</v>
      </c>
    </row>
    <row r="54" spans="1:11" s="191" customFormat="1" x14ac:dyDescent="0.2">
      <c r="A54" s="154">
        <v>2015</v>
      </c>
      <c r="B54" s="159">
        <f>10+11+4+6</f>
        <v>31</v>
      </c>
      <c r="C54" s="155">
        <f t="shared" si="14"/>
        <v>1134</v>
      </c>
      <c r="D54" s="159">
        <f>4+9+5+12</f>
        <v>30</v>
      </c>
      <c r="E54" s="155">
        <f t="shared" si="15"/>
        <v>762</v>
      </c>
      <c r="F54" s="160">
        <f>15+20+8+10</f>
        <v>53</v>
      </c>
      <c r="G54" s="155">
        <f t="shared" si="16"/>
        <v>1655</v>
      </c>
      <c r="H54" s="160">
        <f>4+3+4+6</f>
        <v>17</v>
      </c>
      <c r="I54" s="155">
        <f t="shared" si="17"/>
        <v>741</v>
      </c>
      <c r="J54" s="159">
        <f t="shared" si="12"/>
        <v>131</v>
      </c>
      <c r="K54" s="141">
        <f t="shared" si="13"/>
        <v>4292</v>
      </c>
    </row>
    <row r="55" spans="1:11" x14ac:dyDescent="0.2">
      <c r="A55" s="150">
        <v>2016</v>
      </c>
      <c r="B55" s="159">
        <f>7+11+4+8</f>
        <v>30</v>
      </c>
      <c r="C55" s="155">
        <f t="shared" si="14"/>
        <v>1164</v>
      </c>
      <c r="D55" s="159">
        <f>7+10+5+10</f>
        <v>32</v>
      </c>
      <c r="E55" s="155">
        <f t="shared" si="15"/>
        <v>794</v>
      </c>
      <c r="F55" s="160">
        <f>14+13+9+12</f>
        <v>48</v>
      </c>
      <c r="G55" s="155">
        <f t="shared" si="16"/>
        <v>1703</v>
      </c>
      <c r="H55" s="160">
        <f>5+9+3+8</f>
        <v>25</v>
      </c>
      <c r="I55" s="155">
        <f t="shared" si="17"/>
        <v>766</v>
      </c>
      <c r="J55" s="159">
        <f t="shared" si="12"/>
        <v>135</v>
      </c>
      <c r="K55" s="141">
        <f t="shared" si="13"/>
        <v>4427</v>
      </c>
    </row>
    <row r="56" spans="1:11" s="237" customFormat="1" x14ac:dyDescent="0.2">
      <c r="A56" s="150">
        <v>2017</v>
      </c>
      <c r="B56" s="209">
        <f>8+8+4+11</f>
        <v>31</v>
      </c>
      <c r="C56" s="174">
        <f t="shared" si="14"/>
        <v>1195</v>
      </c>
      <c r="D56" s="209">
        <f>9+7+5+14</f>
        <v>35</v>
      </c>
      <c r="E56" s="174">
        <f t="shared" si="15"/>
        <v>829</v>
      </c>
      <c r="F56" s="226">
        <f>8+12+6+11</f>
        <v>37</v>
      </c>
      <c r="G56" s="174">
        <f t="shared" si="16"/>
        <v>1740</v>
      </c>
      <c r="H56" s="226">
        <f>6+5+1+9</f>
        <v>21</v>
      </c>
      <c r="I56" s="174">
        <f t="shared" si="17"/>
        <v>787</v>
      </c>
      <c r="J56" s="209">
        <f>B56+D56+F56+H56</f>
        <v>124</v>
      </c>
      <c r="K56" s="149">
        <f>K55+J56</f>
        <v>4551</v>
      </c>
    </row>
    <row r="57" spans="1:11" x14ac:dyDescent="0.2">
      <c r="A57" s="203">
        <v>2018</v>
      </c>
      <c r="B57" s="209">
        <f>5+7+3+9</f>
        <v>24</v>
      </c>
      <c r="C57" s="174">
        <f>C56+B57</f>
        <v>1219</v>
      </c>
      <c r="D57" s="209">
        <f>13+12+5+6</f>
        <v>36</v>
      </c>
      <c r="E57" s="174">
        <f>E56+D57</f>
        <v>865</v>
      </c>
      <c r="F57" s="226">
        <f>13+16+8+12</f>
        <v>49</v>
      </c>
      <c r="G57" s="174">
        <f>G56+F57</f>
        <v>1789</v>
      </c>
      <c r="H57" s="226">
        <f>10+9+5+11</f>
        <v>35</v>
      </c>
      <c r="I57" s="174">
        <f>I56+H57</f>
        <v>822</v>
      </c>
      <c r="J57" s="209">
        <f>B57+D57+F57+H57</f>
        <v>144</v>
      </c>
      <c r="K57" s="141">
        <f>K56+J57</f>
        <v>4695</v>
      </c>
    </row>
    <row r="58" spans="1:11" x14ac:dyDescent="0.2">
      <c r="A58" s="150">
        <v>2019</v>
      </c>
      <c r="B58" s="159">
        <f>9+8+5+14</f>
        <v>36</v>
      </c>
      <c r="C58" s="155">
        <f>C57+B58</f>
        <v>1255</v>
      </c>
      <c r="D58" s="159">
        <f>7+8+6+11</f>
        <v>32</v>
      </c>
      <c r="E58" s="155">
        <f>E57+D58</f>
        <v>897</v>
      </c>
      <c r="F58" s="160">
        <f>10+15+10+20</f>
        <v>55</v>
      </c>
      <c r="G58" s="155">
        <f>G57+F58</f>
        <v>1844</v>
      </c>
      <c r="H58" s="160">
        <f>7+7+4+6</f>
        <v>24</v>
      </c>
      <c r="I58" s="155">
        <f>I57+H58</f>
        <v>846</v>
      </c>
      <c r="J58" s="159">
        <f>B58+D58+F58+H58</f>
        <v>147</v>
      </c>
      <c r="K58" s="141">
        <f>K57+J58</f>
        <v>4842</v>
      </c>
    </row>
    <row r="59" spans="1:11" x14ac:dyDescent="0.2">
      <c r="A59" s="150">
        <v>2020</v>
      </c>
      <c r="B59" s="159">
        <f>10+6+6+8</f>
        <v>30</v>
      </c>
      <c r="C59" s="155">
        <f t="shared" ref="C59:C69" si="18">IF(B59&gt;0,C58+B59,IF(B59="","",C58))</f>
        <v>1285</v>
      </c>
      <c r="D59" s="159">
        <f>8+3+5+10</f>
        <v>26</v>
      </c>
      <c r="E59" s="155">
        <f t="shared" ref="E59:E69" si="19">IF(D59&gt;0,E58+D59,IF(D59="","",E58))</f>
        <v>923</v>
      </c>
      <c r="F59" s="160">
        <f>18+2+8+15</f>
        <v>43</v>
      </c>
      <c r="G59" s="155">
        <f t="shared" ref="G59:G69" si="20">IF(F59&gt;0,G58+F59,IF(F59="","",G58))</f>
        <v>1887</v>
      </c>
      <c r="H59" s="160">
        <f>4+4+3+6</f>
        <v>17</v>
      </c>
      <c r="I59" s="155">
        <f t="shared" ref="I59:I69" si="21">IF(H59&gt;0,I58+H59,IF(H59="","",I58))</f>
        <v>863</v>
      </c>
      <c r="J59" s="159">
        <f>IF(B59+D59+F59+H59&gt;0,B59+D59+F59+H59,0)</f>
        <v>116</v>
      </c>
      <c r="K59" s="141">
        <f t="shared" ref="K59:K70" si="22">IF(J59&gt;0,K58+J59,IF(OR(J59="",J59=0),"",K58))</f>
        <v>4958</v>
      </c>
    </row>
    <row r="60" spans="1:11" x14ac:dyDescent="0.2">
      <c r="A60" s="150">
        <v>2021</v>
      </c>
      <c r="B60" s="159">
        <f>10+12+3+8</f>
        <v>33</v>
      </c>
      <c r="C60" s="155">
        <f t="shared" si="18"/>
        <v>1318</v>
      </c>
      <c r="D60" s="159">
        <f>8+8+5+9</f>
        <v>30</v>
      </c>
      <c r="E60" s="155">
        <f t="shared" si="19"/>
        <v>953</v>
      </c>
      <c r="F60" s="160">
        <f>5+10+8+15</f>
        <v>38</v>
      </c>
      <c r="G60" s="155">
        <f t="shared" si="20"/>
        <v>1925</v>
      </c>
      <c r="H60" s="160">
        <f>5+4+3+5</f>
        <v>17</v>
      </c>
      <c r="I60" s="155">
        <f t="shared" si="21"/>
        <v>880</v>
      </c>
      <c r="J60" s="159">
        <f>IF(B60+D60+F60+H60&gt;0,B60+D60+F60+H60,0)</f>
        <v>118</v>
      </c>
      <c r="K60" s="141">
        <f>IF(J60&gt;0,K59+J60,IF(OR(J60="",J60=0),"",K59))</f>
        <v>5076</v>
      </c>
    </row>
    <row r="61" spans="1:11" x14ac:dyDescent="0.2">
      <c r="A61" s="150">
        <v>2022</v>
      </c>
      <c r="B61" s="190">
        <f>7+10+5+3</f>
        <v>25</v>
      </c>
      <c r="C61" s="179">
        <f t="shared" si="18"/>
        <v>1343</v>
      </c>
      <c r="D61" s="190">
        <f>7+8+3+8</f>
        <v>26</v>
      </c>
      <c r="E61" s="179">
        <f t="shared" si="19"/>
        <v>979</v>
      </c>
      <c r="F61" s="184">
        <f>7+15+5+7</f>
        <v>34</v>
      </c>
      <c r="G61" s="179">
        <f t="shared" si="20"/>
        <v>1959</v>
      </c>
      <c r="H61" s="184">
        <f>5+1+2+6</f>
        <v>14</v>
      </c>
      <c r="I61" s="179">
        <f t="shared" si="21"/>
        <v>894</v>
      </c>
      <c r="J61" s="190">
        <f>IF(B61+D61+F61+H61&gt;0,B61+D61+F61+H61,0)</f>
        <v>99</v>
      </c>
      <c r="K61" s="141">
        <f t="shared" si="22"/>
        <v>5175</v>
      </c>
    </row>
    <row r="62" spans="1:11" x14ac:dyDescent="0.2">
      <c r="A62" s="150">
        <v>2023</v>
      </c>
      <c r="B62" s="190">
        <f>11+8+3+9</f>
        <v>31</v>
      </c>
      <c r="C62" s="179">
        <f t="shared" si="18"/>
        <v>1374</v>
      </c>
      <c r="D62" s="190">
        <f>9+7+3+9</f>
        <v>28</v>
      </c>
      <c r="E62" s="179">
        <f t="shared" si="19"/>
        <v>1007</v>
      </c>
      <c r="F62" s="184">
        <f>5+9+3+10</f>
        <v>27</v>
      </c>
      <c r="G62" s="179">
        <f t="shared" si="20"/>
        <v>1986</v>
      </c>
      <c r="H62" s="184">
        <f>5+3+2+4</f>
        <v>14</v>
      </c>
      <c r="I62" s="179">
        <f t="shared" si="21"/>
        <v>908</v>
      </c>
      <c r="J62" s="190">
        <f>IF(B62+D62+F62+H62&gt;0,B62+D62+F62+H62,0)</f>
        <v>100</v>
      </c>
      <c r="K62" s="141">
        <f>IF(J62&gt;0,K61+J62,IF(OR(J62="",J62=0),"",K61))</f>
        <v>5275</v>
      </c>
    </row>
    <row r="63" spans="1:11" x14ac:dyDescent="0.2">
      <c r="A63" s="221">
        <v>2024</v>
      </c>
      <c r="B63" s="190">
        <f>11+10+2+0</f>
        <v>23</v>
      </c>
      <c r="C63" s="179">
        <f t="shared" si="18"/>
        <v>1397</v>
      </c>
      <c r="D63" s="61">
        <f>8+5+5+0</f>
        <v>18</v>
      </c>
      <c r="E63" s="179">
        <f t="shared" si="19"/>
        <v>1025</v>
      </c>
      <c r="F63" s="71">
        <f>7+12+4+0</f>
        <v>23</v>
      </c>
      <c r="G63" s="179">
        <f t="shared" si="20"/>
        <v>2009</v>
      </c>
      <c r="H63" s="63">
        <f>5+4+2+7</f>
        <v>18</v>
      </c>
      <c r="I63" s="179">
        <f t="shared" si="21"/>
        <v>926</v>
      </c>
      <c r="J63" s="190">
        <f>IF(B63+D63+F63+H63&gt;0,B63+D63+F63+H63,0)</f>
        <v>82</v>
      </c>
      <c r="K63" s="141">
        <f>IF(J63&gt;0,K62+J63,IF(OR(J63="",J63=0),"",K62))</f>
        <v>5357</v>
      </c>
    </row>
    <row r="64" spans="1:11" x14ac:dyDescent="0.2">
      <c r="A64" s="17">
        <v>2025</v>
      </c>
      <c r="B64" s="190"/>
      <c r="C64" s="179" t="str">
        <f t="shared" si="18"/>
        <v/>
      </c>
      <c r="D64" s="61"/>
      <c r="E64" s="179" t="str">
        <f t="shared" si="19"/>
        <v/>
      </c>
      <c r="F64" s="71"/>
      <c r="G64" s="179" t="str">
        <f t="shared" si="20"/>
        <v/>
      </c>
      <c r="H64" s="63"/>
      <c r="I64" s="179" t="str">
        <f t="shared" si="21"/>
        <v/>
      </c>
      <c r="J64" s="190">
        <f t="shared" ref="J64:J69" si="23">IF(B64+D64+F64+H64&gt;0,B64+D64+F64+H64,)</f>
        <v>0</v>
      </c>
      <c r="K64" s="141" t="str">
        <f t="shared" si="22"/>
        <v/>
      </c>
    </row>
    <row r="65" spans="1:11" x14ac:dyDescent="0.2">
      <c r="A65" s="17">
        <v>2026</v>
      </c>
      <c r="B65" s="190"/>
      <c r="C65" s="179" t="str">
        <f t="shared" si="18"/>
        <v/>
      </c>
      <c r="D65" s="61"/>
      <c r="E65" s="179" t="str">
        <f t="shared" si="19"/>
        <v/>
      </c>
      <c r="F65" s="71"/>
      <c r="G65" s="179" t="str">
        <f t="shared" si="20"/>
        <v/>
      </c>
      <c r="H65" s="63"/>
      <c r="I65" s="179" t="str">
        <f t="shared" si="21"/>
        <v/>
      </c>
      <c r="J65" s="190">
        <f t="shared" si="23"/>
        <v>0</v>
      </c>
      <c r="K65" s="141" t="str">
        <f t="shared" si="22"/>
        <v/>
      </c>
    </row>
    <row r="66" spans="1:11" x14ac:dyDescent="0.2">
      <c r="A66" s="17">
        <v>2027</v>
      </c>
      <c r="B66" s="190"/>
      <c r="C66" s="179" t="str">
        <f t="shared" si="18"/>
        <v/>
      </c>
      <c r="D66" s="61"/>
      <c r="E66" s="179" t="str">
        <f t="shared" si="19"/>
        <v/>
      </c>
      <c r="F66" s="71"/>
      <c r="G66" s="179" t="str">
        <f t="shared" si="20"/>
        <v/>
      </c>
      <c r="H66" s="63"/>
      <c r="I66" s="179" t="str">
        <f t="shared" si="21"/>
        <v/>
      </c>
      <c r="J66" s="190">
        <f t="shared" si="23"/>
        <v>0</v>
      </c>
      <c r="K66" s="141" t="str">
        <f t="shared" si="22"/>
        <v/>
      </c>
    </row>
    <row r="67" spans="1:11" x14ac:dyDescent="0.2">
      <c r="A67" s="17">
        <v>2028</v>
      </c>
      <c r="B67" s="190"/>
      <c r="C67" s="179" t="str">
        <f t="shared" si="18"/>
        <v/>
      </c>
      <c r="D67" s="61"/>
      <c r="E67" s="179" t="str">
        <f t="shared" si="19"/>
        <v/>
      </c>
      <c r="F67" s="71"/>
      <c r="G67" s="179" t="str">
        <f t="shared" si="20"/>
        <v/>
      </c>
      <c r="H67" s="63"/>
      <c r="I67" s="179" t="str">
        <f t="shared" si="21"/>
        <v/>
      </c>
      <c r="J67" s="190">
        <f t="shared" si="23"/>
        <v>0</v>
      </c>
      <c r="K67" s="141" t="str">
        <f t="shared" si="22"/>
        <v/>
      </c>
    </row>
    <row r="68" spans="1:11" x14ac:dyDescent="0.2">
      <c r="A68" s="17">
        <v>2029</v>
      </c>
      <c r="B68" s="190"/>
      <c r="C68" s="179" t="str">
        <f t="shared" si="18"/>
        <v/>
      </c>
      <c r="D68" s="61"/>
      <c r="E68" s="179" t="str">
        <f t="shared" si="19"/>
        <v/>
      </c>
      <c r="F68" s="71"/>
      <c r="G68" s="179" t="str">
        <f t="shared" si="20"/>
        <v/>
      </c>
      <c r="H68" s="63"/>
      <c r="I68" s="179" t="str">
        <f t="shared" si="21"/>
        <v/>
      </c>
      <c r="J68" s="190">
        <f t="shared" si="23"/>
        <v>0</v>
      </c>
      <c r="K68" s="141" t="str">
        <f t="shared" si="22"/>
        <v/>
      </c>
    </row>
    <row r="69" spans="1:11" x14ac:dyDescent="0.2">
      <c r="A69" s="17">
        <v>2030</v>
      </c>
      <c r="B69" s="190"/>
      <c r="C69" s="179" t="str">
        <f t="shared" si="18"/>
        <v/>
      </c>
      <c r="D69" s="61"/>
      <c r="E69" s="179" t="str">
        <f t="shared" si="19"/>
        <v/>
      </c>
      <c r="F69" s="71"/>
      <c r="G69" s="179" t="str">
        <f t="shared" si="20"/>
        <v/>
      </c>
      <c r="H69" s="63"/>
      <c r="I69" s="179" t="str">
        <f t="shared" si="21"/>
        <v/>
      </c>
      <c r="J69" s="190">
        <f t="shared" si="23"/>
        <v>0</v>
      </c>
      <c r="K69" s="141" t="str">
        <f t="shared" si="22"/>
        <v/>
      </c>
    </row>
    <row r="70" spans="1:11" x14ac:dyDescent="0.2">
      <c r="A70" s="17"/>
      <c r="B70" s="61"/>
      <c r="C70" s="53"/>
      <c r="D70" s="61"/>
      <c r="E70" s="52"/>
      <c r="F70" s="71"/>
      <c r="G70" s="71"/>
      <c r="H70" s="63"/>
      <c r="I70" s="71"/>
      <c r="J70" s="63"/>
      <c r="K70" s="141" t="str">
        <f t="shared" si="22"/>
        <v/>
      </c>
    </row>
    <row r="71" spans="1:11" x14ac:dyDescent="0.2">
      <c r="A71" s="17"/>
      <c r="B71" s="61"/>
      <c r="C71" s="53"/>
      <c r="D71" s="61"/>
      <c r="E71" s="52"/>
      <c r="F71" s="71"/>
      <c r="G71" s="71"/>
      <c r="H71" s="63"/>
      <c r="I71" s="71"/>
      <c r="J71" s="63"/>
      <c r="K71" s="141" t="str">
        <f>IF(J71&gt;0,K70+J71,IF(OR(J71="",J71=0),"",K70))</f>
        <v/>
      </c>
    </row>
    <row r="72" spans="1:11" x14ac:dyDescent="0.2">
      <c r="A72" s="18"/>
      <c r="B72" s="81"/>
      <c r="C72" s="57"/>
      <c r="D72" s="81"/>
      <c r="E72" s="56"/>
      <c r="F72" s="76"/>
      <c r="G72" s="76"/>
      <c r="H72" s="74"/>
      <c r="I72" s="76"/>
      <c r="J72" s="74"/>
      <c r="K72" s="75"/>
    </row>
    <row r="73" spans="1:11" x14ac:dyDescent="0.2">
      <c r="B73" s="89"/>
      <c r="C73" s="89"/>
    </row>
    <row r="74" spans="1:11" x14ac:dyDescent="0.2">
      <c r="B74" s="89"/>
      <c r="C74" s="89"/>
    </row>
    <row r="75" spans="1:11" x14ac:dyDescent="0.2">
      <c r="B75" s="89"/>
      <c r="C75" s="89"/>
    </row>
    <row r="76" spans="1:11" x14ac:dyDescent="0.2">
      <c r="B76" s="89"/>
      <c r="C76" s="89"/>
    </row>
    <row r="77" spans="1:11" x14ac:dyDescent="0.2">
      <c r="B77" s="89"/>
      <c r="C77" s="89"/>
    </row>
  </sheetData>
  <mergeCells count="5">
    <mergeCell ref="J1:K1"/>
    <mergeCell ref="B1:C1"/>
    <mergeCell ref="D1:E1"/>
    <mergeCell ref="F1:G1"/>
    <mergeCell ref="H1:I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  <ignoredErrors>
    <ignoredError sqref="D8:D45 E8:E45 G8:J45 E48 F26:F44 F8:F11 D46:D47 I46:K47 F13:F24 F46:F47 G48 I48:K48 H46:H47 G46:G47 E46:E47 D48 J49 F48 H48 D49:G49 H49 G50 E50 D50 F50 H50:K50 E51 G51 I51:K5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3"/>
  </sheetPr>
  <dimension ref="A1:K77"/>
  <sheetViews>
    <sheetView showGridLines="0" showZeros="0" zoomScaleNormal="100" workbookViewId="0">
      <pane ySplit="2" topLeftCell="A46" activePane="bottomLeft" state="frozen"/>
      <selection activeCell="K87" sqref="K87"/>
      <selection pane="bottomLeft" activeCell="C63" sqref="C63"/>
    </sheetView>
  </sheetViews>
  <sheetFormatPr defaultColWidth="8.85546875" defaultRowHeight="12.75" x14ac:dyDescent="0.2"/>
  <cols>
    <col min="1" max="1" width="5.5703125" style="1" customWidth="1"/>
    <col min="2" max="11" width="9.5703125" customWidth="1"/>
  </cols>
  <sheetData>
    <row r="1" spans="1:11" s="6" customFormat="1" ht="20.25" customHeight="1" x14ac:dyDescent="0.2">
      <c r="A1" s="16"/>
      <c r="B1" s="440" t="s">
        <v>4</v>
      </c>
      <c r="C1" s="437"/>
      <c r="D1" s="434" t="s">
        <v>5</v>
      </c>
      <c r="E1" s="435"/>
      <c r="F1" s="434" t="s">
        <v>6</v>
      </c>
      <c r="G1" s="437"/>
      <c r="H1" s="434" t="s">
        <v>7</v>
      </c>
      <c r="I1" s="435"/>
      <c r="J1" s="434" t="s">
        <v>8</v>
      </c>
      <c r="K1" s="436"/>
    </row>
    <row r="2" spans="1:11" s="2" customFormat="1" ht="25.5" customHeight="1" thickBot="1" x14ac:dyDescent="0.25">
      <c r="A2" s="5" t="s">
        <v>9</v>
      </c>
      <c r="B2" s="3" t="s">
        <v>0</v>
      </c>
      <c r="C2" s="4" t="s">
        <v>1</v>
      </c>
      <c r="D2" s="3" t="s">
        <v>0</v>
      </c>
      <c r="E2" s="4" t="s">
        <v>1</v>
      </c>
      <c r="F2" s="3" t="s">
        <v>0</v>
      </c>
      <c r="G2" s="4" t="s">
        <v>1</v>
      </c>
      <c r="H2" s="3" t="s">
        <v>0</v>
      </c>
      <c r="I2" s="4" t="s">
        <v>1</v>
      </c>
      <c r="J2" s="3" t="s">
        <v>0</v>
      </c>
      <c r="K2" s="4" t="s">
        <v>1</v>
      </c>
    </row>
    <row r="3" spans="1:11" ht="17.25" customHeight="1" thickTop="1" x14ac:dyDescent="0.2">
      <c r="A3" s="17">
        <v>1964</v>
      </c>
      <c r="B3" s="51">
        <f>'Nj-AD+LD'!B3</f>
        <v>7</v>
      </c>
      <c r="C3" s="59">
        <f>'Nj-AD+LD'!C3</f>
        <v>7</v>
      </c>
      <c r="D3" s="51"/>
      <c r="E3" s="59"/>
      <c r="F3" s="51"/>
      <c r="G3" s="59"/>
      <c r="H3" s="60"/>
      <c r="I3" s="59"/>
      <c r="J3" s="51">
        <f>'Nj-AD+LD'!AE3</f>
        <v>7</v>
      </c>
      <c r="K3" s="59">
        <f>'Nj-AD+LD'!AF3</f>
        <v>7</v>
      </c>
    </row>
    <row r="4" spans="1:11" x14ac:dyDescent="0.2">
      <c r="A4" s="17">
        <v>1965</v>
      </c>
      <c r="B4" s="51">
        <f>'Nj-AD+LD'!B4</f>
        <v>9</v>
      </c>
      <c r="C4" s="52">
        <f>'Nj-AD+LD'!C4</f>
        <v>16</v>
      </c>
      <c r="D4" s="51"/>
      <c r="E4" s="53"/>
      <c r="F4" s="51">
        <f>'Nj-AD+LD'!P4</f>
        <v>5</v>
      </c>
      <c r="G4" s="53">
        <f>'Nj-AD+LD'!Q4</f>
        <v>5</v>
      </c>
      <c r="H4" s="51"/>
      <c r="I4" s="53"/>
      <c r="J4" s="51">
        <f>'Nj-AD+LD'!AE4</f>
        <v>14</v>
      </c>
      <c r="K4" s="54">
        <f>'Nj-AD+LD'!AF4</f>
        <v>21</v>
      </c>
    </row>
    <row r="5" spans="1:11" x14ac:dyDescent="0.2">
      <c r="A5" s="17">
        <v>1966</v>
      </c>
      <c r="B5" s="51">
        <f>'Nj-AD+LD'!B5</f>
        <v>15</v>
      </c>
      <c r="C5" s="52">
        <f>'Nj-AD+LD'!C5</f>
        <v>31</v>
      </c>
      <c r="D5" s="51"/>
      <c r="E5" s="53"/>
      <c r="F5" s="51">
        <f>'Nj-AD+LD'!P5</f>
        <v>24</v>
      </c>
      <c r="G5" s="53">
        <f>'Nj-AD+LD'!Q5</f>
        <v>29</v>
      </c>
      <c r="H5" s="51"/>
      <c r="I5" s="53"/>
      <c r="J5" s="51">
        <f>'Nj-AD+LD'!AE5</f>
        <v>39</v>
      </c>
      <c r="K5" s="54">
        <f>'Nj-AD+LD'!AF5</f>
        <v>60</v>
      </c>
    </row>
    <row r="6" spans="1:11" x14ac:dyDescent="0.2">
      <c r="A6" s="17">
        <v>1967</v>
      </c>
      <c r="B6" s="51">
        <f>'Nj-AD+LD'!B6</f>
        <v>12</v>
      </c>
      <c r="C6" s="52">
        <f>'Nj-AD+LD'!C6</f>
        <v>43</v>
      </c>
      <c r="D6" s="51"/>
      <c r="E6" s="53"/>
      <c r="F6" s="51">
        <f>'Nj-AD+LD'!P6</f>
        <v>45</v>
      </c>
      <c r="G6" s="53">
        <f>'Nj-AD+LD'!Q6</f>
        <v>74</v>
      </c>
      <c r="H6" s="51"/>
      <c r="I6" s="53"/>
      <c r="J6" s="51">
        <f>'Nj-AD+LD'!AE6</f>
        <v>57</v>
      </c>
      <c r="K6" s="54">
        <f>'Nj-AD+LD'!AF6</f>
        <v>117</v>
      </c>
    </row>
    <row r="7" spans="1:11" x14ac:dyDescent="0.2">
      <c r="A7" s="17">
        <v>1968</v>
      </c>
      <c r="B7" s="51">
        <f>'Nj-AD+LD'!B7</f>
        <v>15</v>
      </c>
      <c r="C7" s="52">
        <f>'Nj-AD+LD'!C7</f>
        <v>58</v>
      </c>
      <c r="D7" s="51"/>
      <c r="E7" s="53"/>
      <c r="F7" s="51">
        <f>'Nj-AD+LD'!P7</f>
        <v>53</v>
      </c>
      <c r="G7" s="53">
        <f>'Nj-AD+LD'!Q7</f>
        <v>127</v>
      </c>
      <c r="H7" s="51">
        <f>'Nj-AD+LD'!X7</f>
        <v>3</v>
      </c>
      <c r="I7" s="53">
        <f>'Nj-AD+LD'!Y7</f>
        <v>3</v>
      </c>
      <c r="J7" s="51">
        <f>'Nj-AD+LD'!AE7</f>
        <v>71</v>
      </c>
      <c r="K7" s="54">
        <f>'Nj-AD+LD'!AF7</f>
        <v>188</v>
      </c>
    </row>
    <row r="8" spans="1:11" x14ac:dyDescent="0.2">
      <c r="A8" s="17">
        <v>1969</v>
      </c>
      <c r="B8" s="51">
        <f>'Nj-AD+LD'!B8</f>
        <v>10</v>
      </c>
      <c r="C8" s="52">
        <f>'Nj-AD+LD'!C8</f>
        <v>68</v>
      </c>
      <c r="D8" s="51">
        <f>'Nj-AD+LD'!I8</f>
        <v>6</v>
      </c>
      <c r="E8" s="53">
        <f>'Nj-AD+LD'!J8</f>
        <v>6</v>
      </c>
      <c r="F8" s="51">
        <f>'Nj-AD+LD'!P8</f>
        <v>69</v>
      </c>
      <c r="G8" s="53">
        <f>'Nj-AD+LD'!Q8</f>
        <v>196</v>
      </c>
      <c r="H8" s="51">
        <f>'Nj-AD+LD'!X8</f>
        <v>11</v>
      </c>
      <c r="I8" s="53">
        <f>'Nj-AD+LD'!Y8</f>
        <v>14</v>
      </c>
      <c r="J8" s="51">
        <f>'Nj-AD+LD'!AE8</f>
        <v>96</v>
      </c>
      <c r="K8" s="54">
        <f>'Nj-AD+LD'!AF8</f>
        <v>284</v>
      </c>
    </row>
    <row r="9" spans="1:11" x14ac:dyDescent="0.2">
      <c r="A9" s="17">
        <v>1970</v>
      </c>
      <c r="B9" s="51">
        <f>'Nj-AD+LD'!B9</f>
        <v>32</v>
      </c>
      <c r="C9" s="52">
        <f>'Nj-AD+LD'!C9</f>
        <v>100</v>
      </c>
      <c r="D9" s="51">
        <f>'Nj-AD+LD'!I9</f>
        <v>16</v>
      </c>
      <c r="E9" s="53">
        <f>'Nj-AD+LD'!J9</f>
        <v>22</v>
      </c>
      <c r="F9" s="51">
        <f>'Nj-AD+LD'!P9</f>
        <v>79</v>
      </c>
      <c r="G9" s="53">
        <f>'Nj-AD+LD'!Q9</f>
        <v>275</v>
      </c>
      <c r="H9" s="51">
        <f>'Nj-AD+LD'!X9</f>
        <v>19</v>
      </c>
      <c r="I9" s="53">
        <f>'Nj-AD+LD'!Y9</f>
        <v>33</v>
      </c>
      <c r="J9" s="51">
        <f>'Nj-AD+LD'!AE9</f>
        <v>146</v>
      </c>
      <c r="K9" s="54">
        <f>'Nj-AD+LD'!AF9</f>
        <v>430</v>
      </c>
    </row>
    <row r="10" spans="1:11" x14ac:dyDescent="0.2">
      <c r="A10" s="17">
        <v>1971</v>
      </c>
      <c r="B10" s="51">
        <f>'Nj-AD+LD'!B10</f>
        <v>32</v>
      </c>
      <c r="C10" s="52">
        <f>'Nj-AD+LD'!C10</f>
        <v>132</v>
      </c>
      <c r="D10" s="51">
        <f>'Nj-AD+LD'!I10</f>
        <v>20</v>
      </c>
      <c r="E10" s="53">
        <f>'Nj-AD+LD'!J10</f>
        <v>42</v>
      </c>
      <c r="F10" s="51">
        <f>'Nj-AD+LD'!P10</f>
        <v>79</v>
      </c>
      <c r="G10" s="53">
        <f>'Nj-AD+LD'!Q10</f>
        <v>354</v>
      </c>
      <c r="H10" s="51">
        <f>'Nj-AD+LD'!X10</f>
        <v>15</v>
      </c>
      <c r="I10" s="53">
        <f>'Nj-AD+LD'!Y10</f>
        <v>48</v>
      </c>
      <c r="J10" s="51">
        <f>'Nj-AD+LD'!AE10</f>
        <v>146</v>
      </c>
      <c r="K10" s="54">
        <f>'Nj-AD+LD'!AF10</f>
        <v>576</v>
      </c>
    </row>
    <row r="11" spans="1:11" x14ac:dyDescent="0.2">
      <c r="A11" s="17">
        <v>1972</v>
      </c>
      <c r="B11" s="51">
        <f>'Nj-AD+LD'!B11</f>
        <v>47</v>
      </c>
      <c r="C11" s="52">
        <f>'Nj-AD+LD'!C11</f>
        <v>179</v>
      </c>
      <c r="D11" s="51">
        <f>'Nj-AD+LD'!I11</f>
        <v>17</v>
      </c>
      <c r="E11" s="53">
        <f>'Nj-AD+LD'!J11</f>
        <v>59</v>
      </c>
      <c r="F11" s="51">
        <f>'Nj-AD+LD'!P11</f>
        <v>97</v>
      </c>
      <c r="G11" s="53">
        <f>'Nj-AD+LD'!Q11</f>
        <v>451</v>
      </c>
      <c r="H11" s="51">
        <f>'Nj-AD+LD'!X11</f>
        <v>22</v>
      </c>
      <c r="I11" s="53">
        <f>'Nj-AD+LD'!Y11</f>
        <v>70</v>
      </c>
      <c r="J11" s="51">
        <f>'Nj-AD+LD'!AE11</f>
        <v>183</v>
      </c>
      <c r="K11" s="54">
        <f>'Nj-AD+LD'!AF11</f>
        <v>759</v>
      </c>
    </row>
    <row r="12" spans="1:11" x14ac:dyDescent="0.2">
      <c r="A12" s="17">
        <v>1973</v>
      </c>
      <c r="B12" s="51">
        <f>'Nj-AD+LD'!B12</f>
        <v>43</v>
      </c>
      <c r="C12" s="52">
        <f>'Nj-AD+LD'!C12</f>
        <v>222</v>
      </c>
      <c r="D12" s="51">
        <f>'Nj-AD+LD'!I12</f>
        <v>20</v>
      </c>
      <c r="E12" s="53">
        <f>'Nj-AD+LD'!J12</f>
        <v>79</v>
      </c>
      <c r="F12" s="51">
        <f>'Nj-AD+LD'!P12</f>
        <v>105</v>
      </c>
      <c r="G12" s="53">
        <f>'Nj-AD+LD'!Q12</f>
        <v>556</v>
      </c>
      <c r="H12" s="51">
        <f>'Nj-AD+LD'!X12</f>
        <v>24</v>
      </c>
      <c r="I12" s="53">
        <f>'Nj-AD+LD'!Y12</f>
        <v>94</v>
      </c>
      <c r="J12" s="51">
        <f>'Nj-AD+LD'!AE12</f>
        <v>192</v>
      </c>
      <c r="K12" s="54">
        <f>'Nj-AD+LD'!AF12</f>
        <v>951</v>
      </c>
    </row>
    <row r="13" spans="1:11" x14ac:dyDescent="0.2">
      <c r="A13" s="17">
        <v>1974</v>
      </c>
      <c r="B13" s="51">
        <f>'Nj-AD+LD'!B13</f>
        <v>53</v>
      </c>
      <c r="C13" s="52">
        <f>'Nj-AD+LD'!C13</f>
        <v>275</v>
      </c>
      <c r="D13" s="51">
        <f>'Nj-AD+LD'!I13</f>
        <v>30</v>
      </c>
      <c r="E13" s="53">
        <f>'Nj-AD+LD'!J13</f>
        <v>109</v>
      </c>
      <c r="F13" s="51">
        <f>'Nj-AD+LD'!P13</f>
        <v>102</v>
      </c>
      <c r="G13" s="53">
        <f>'Nj-AD+LD'!Q13</f>
        <v>658</v>
      </c>
      <c r="H13" s="51">
        <f>'Nj-AD+LD'!X13</f>
        <v>22</v>
      </c>
      <c r="I13" s="53">
        <f>'Nj-AD+LD'!Y13</f>
        <v>116</v>
      </c>
      <c r="J13" s="51">
        <f>'Nj-AD+LD'!AE13</f>
        <v>207</v>
      </c>
      <c r="K13" s="54">
        <f>'Nj-AD+LD'!AF13</f>
        <v>1158</v>
      </c>
    </row>
    <row r="14" spans="1:11" x14ac:dyDescent="0.2">
      <c r="A14" s="17">
        <v>1975</v>
      </c>
      <c r="B14" s="51">
        <f>'Nj-AD+LD'!B14</f>
        <v>62</v>
      </c>
      <c r="C14" s="52">
        <f>'Nj-AD+LD'!C14</f>
        <v>337</v>
      </c>
      <c r="D14" s="51">
        <f>'Nj-AD+LD'!I14</f>
        <v>31</v>
      </c>
      <c r="E14" s="53">
        <f>'Nj-AD+LD'!J14</f>
        <v>140</v>
      </c>
      <c r="F14" s="51">
        <f>'Nj-AD+LD'!P14</f>
        <v>81</v>
      </c>
      <c r="G14" s="53">
        <f>'Nj-AD+LD'!Q14</f>
        <v>739</v>
      </c>
      <c r="H14" s="51">
        <f>'Nj-AD+LD'!X14</f>
        <v>18</v>
      </c>
      <c r="I14" s="53">
        <f>'Nj-AD+LD'!Y14</f>
        <v>134</v>
      </c>
      <c r="J14" s="51">
        <f>'Nj-AD+LD'!AE14</f>
        <v>192</v>
      </c>
      <c r="K14" s="54">
        <f>'Nj-AD+LD'!AF14</f>
        <v>1350</v>
      </c>
    </row>
    <row r="15" spans="1:11" x14ac:dyDescent="0.2">
      <c r="A15" s="17">
        <v>1976</v>
      </c>
      <c r="B15" s="51">
        <f>'Nj-AD+LD'!B15</f>
        <v>56</v>
      </c>
      <c r="C15" s="52">
        <f>'Nj-AD+LD'!C15</f>
        <v>393</v>
      </c>
      <c r="D15" s="51">
        <f>'Nj-AD+LD'!I15</f>
        <v>33</v>
      </c>
      <c r="E15" s="53">
        <f>'Nj-AD+LD'!J15</f>
        <v>173</v>
      </c>
      <c r="F15" s="51">
        <f>'Nj-AD+LD'!P15</f>
        <v>54</v>
      </c>
      <c r="G15" s="53">
        <f>'Nj-AD+LD'!Q15</f>
        <v>793</v>
      </c>
      <c r="H15" s="51">
        <f>'Nj-AD+LD'!X15</f>
        <v>32</v>
      </c>
      <c r="I15" s="53">
        <f>'Nj-AD+LD'!Y15</f>
        <v>166</v>
      </c>
      <c r="J15" s="51">
        <f>'Nj-AD+LD'!AE15</f>
        <v>175</v>
      </c>
      <c r="K15" s="54">
        <f>'Nj-AD+LD'!AF15</f>
        <v>1525</v>
      </c>
    </row>
    <row r="16" spans="1:11" x14ac:dyDescent="0.2">
      <c r="A16" s="17">
        <v>1977</v>
      </c>
      <c r="B16" s="51">
        <f>'Nj-AD+LD'!B16</f>
        <v>55</v>
      </c>
      <c r="C16" s="52">
        <f>'Nj-AD+LD'!C16</f>
        <v>448</v>
      </c>
      <c r="D16" s="51">
        <f>'Nj-AD+LD'!I16</f>
        <v>26</v>
      </c>
      <c r="E16" s="53">
        <f>'Nj-AD+LD'!J16</f>
        <v>199</v>
      </c>
      <c r="F16" s="51">
        <f>'Nj-AD+LD'!P16</f>
        <v>87</v>
      </c>
      <c r="G16" s="53">
        <f>'Nj-AD+LD'!Q16</f>
        <v>880</v>
      </c>
      <c r="H16" s="51">
        <f>'Nj-AD+LD'!X16</f>
        <v>46</v>
      </c>
      <c r="I16" s="53">
        <f>'Nj-AD+LD'!Y16</f>
        <v>212</v>
      </c>
      <c r="J16" s="51">
        <f>'Nj-AD+LD'!AE16</f>
        <v>214</v>
      </c>
      <c r="K16" s="54">
        <f>'Nj-AD+LD'!AF16</f>
        <v>1739</v>
      </c>
    </row>
    <row r="17" spans="1:11" x14ac:dyDescent="0.2">
      <c r="A17" s="17">
        <v>1978</v>
      </c>
      <c r="B17" s="51">
        <f>'Nj-AD+LD'!B17</f>
        <v>45</v>
      </c>
      <c r="C17" s="52">
        <f>'Nj-AD+LD'!C17</f>
        <v>493</v>
      </c>
      <c r="D17" s="51">
        <f>'Nj-AD+LD'!I17</f>
        <v>31</v>
      </c>
      <c r="E17" s="53">
        <f>'Nj-AD+LD'!J17</f>
        <v>230</v>
      </c>
      <c r="F17" s="51">
        <f>'Nj-AD+LD'!P17</f>
        <v>98</v>
      </c>
      <c r="G17" s="53">
        <f>'Nj-AD+LD'!Q17</f>
        <v>978</v>
      </c>
      <c r="H17" s="51">
        <f>'Nj-AD+LD'!X17</f>
        <v>56</v>
      </c>
      <c r="I17" s="53">
        <f>'Nj-AD+LD'!Y17</f>
        <v>268</v>
      </c>
      <c r="J17" s="51">
        <f>'Nj-AD+LD'!AE17</f>
        <v>230</v>
      </c>
      <c r="K17" s="54">
        <f>'Nj-AD+LD'!AF17</f>
        <v>1969</v>
      </c>
    </row>
    <row r="18" spans="1:11" x14ac:dyDescent="0.2">
      <c r="A18" s="17">
        <v>1979</v>
      </c>
      <c r="B18" s="51">
        <f>'Nj-AD+LD'!B18</f>
        <v>58</v>
      </c>
      <c r="C18" s="52">
        <f>'Nj-AD+LD'!C18</f>
        <v>551</v>
      </c>
      <c r="D18" s="51">
        <f>'Nj-AD+LD'!I18</f>
        <v>30</v>
      </c>
      <c r="E18" s="53">
        <f>'Nj-AD+LD'!J18</f>
        <v>260</v>
      </c>
      <c r="F18" s="51">
        <f>'Nj-AD+LD'!P18</f>
        <v>94</v>
      </c>
      <c r="G18" s="53">
        <f>'Nj-AD+LD'!Q18</f>
        <v>1072</v>
      </c>
      <c r="H18" s="51">
        <f>'Nj-AD+LD'!X18</f>
        <v>48</v>
      </c>
      <c r="I18" s="53">
        <f>'Nj-AD+LD'!Y18</f>
        <v>316</v>
      </c>
      <c r="J18" s="51">
        <f>'Nj-AD+LD'!AE18</f>
        <v>230</v>
      </c>
      <c r="K18" s="54">
        <f>'Nj-AD+LD'!AF18</f>
        <v>2199</v>
      </c>
    </row>
    <row r="19" spans="1:11" x14ac:dyDescent="0.2">
      <c r="A19" s="17">
        <v>1980</v>
      </c>
      <c r="B19" s="51">
        <f>'Nj-AD+LD'!B19</f>
        <v>63</v>
      </c>
      <c r="C19" s="52">
        <f>'Nj-AD+LD'!C19</f>
        <v>614</v>
      </c>
      <c r="D19" s="51">
        <f>'Nj-AD+LD'!I19</f>
        <v>32</v>
      </c>
      <c r="E19" s="53">
        <f>'Nj-AD+LD'!J19</f>
        <v>292</v>
      </c>
      <c r="F19" s="51">
        <f>'Nj-AD+LD'!P19</f>
        <v>94</v>
      </c>
      <c r="G19" s="53">
        <f>'Nj-AD+LD'!Q19</f>
        <v>1166</v>
      </c>
      <c r="H19" s="51">
        <f>'Nj-AD+LD'!X19</f>
        <v>52</v>
      </c>
      <c r="I19" s="53">
        <f>'Nj-AD+LD'!Y19</f>
        <v>368</v>
      </c>
      <c r="J19" s="51">
        <f>'Nj-AD+LD'!AE19</f>
        <v>241</v>
      </c>
      <c r="K19" s="54">
        <f>'Nj-AD+LD'!AF19</f>
        <v>2440</v>
      </c>
    </row>
    <row r="20" spans="1:11" x14ac:dyDescent="0.2">
      <c r="A20" s="17">
        <v>1981</v>
      </c>
      <c r="B20" s="51">
        <f>'Nj-AD+LD'!B20</f>
        <v>55</v>
      </c>
      <c r="C20" s="52">
        <f>'Nj-AD+LD'!C20</f>
        <v>669</v>
      </c>
      <c r="D20" s="51">
        <f>'Nj-AD+LD'!I20</f>
        <v>41</v>
      </c>
      <c r="E20" s="53">
        <f>'Nj-AD+LD'!J20</f>
        <v>333</v>
      </c>
      <c r="F20" s="51">
        <f>'Nj-AD+LD'!P20</f>
        <v>103</v>
      </c>
      <c r="G20" s="53">
        <f>'Nj-AD+LD'!Q20</f>
        <v>1269</v>
      </c>
      <c r="H20" s="51">
        <f>'Nj-AD+LD'!X20</f>
        <v>46</v>
      </c>
      <c r="I20" s="53">
        <f>'Nj-AD+LD'!Y20</f>
        <v>414</v>
      </c>
      <c r="J20" s="51">
        <f>'Nj-AD+LD'!AE20</f>
        <v>245</v>
      </c>
      <c r="K20" s="54">
        <f>'Nj-AD+LD'!AF20</f>
        <v>2685</v>
      </c>
    </row>
    <row r="21" spans="1:11" x14ac:dyDescent="0.2">
      <c r="A21" s="17">
        <v>1982</v>
      </c>
      <c r="B21" s="51">
        <f>'Nj-AD+LD'!B21</f>
        <v>54</v>
      </c>
      <c r="C21" s="52">
        <f>'Nj-AD+LD'!C21</f>
        <v>723</v>
      </c>
      <c r="D21" s="51">
        <f>'Nj-AD+LD'!I21</f>
        <v>42</v>
      </c>
      <c r="E21" s="53">
        <f>'Nj-AD+LD'!J21</f>
        <v>375</v>
      </c>
      <c r="F21" s="51">
        <f>'Nj-AD+LD'!P21</f>
        <v>96</v>
      </c>
      <c r="G21" s="53">
        <f>'Nj-AD+LD'!Q21</f>
        <v>1365</v>
      </c>
      <c r="H21" s="51">
        <f>'Nj-AD+LD'!X21</f>
        <v>41</v>
      </c>
      <c r="I21" s="53">
        <f>'Nj-AD+LD'!Y21</f>
        <v>455</v>
      </c>
      <c r="J21" s="51">
        <f>'Nj-AD+LD'!AE21</f>
        <v>233</v>
      </c>
      <c r="K21" s="54">
        <f>'Nj-AD+LD'!AF21</f>
        <v>2918</v>
      </c>
    </row>
    <row r="22" spans="1:11" x14ac:dyDescent="0.2">
      <c r="A22" s="17">
        <v>1983</v>
      </c>
      <c r="B22" s="51">
        <f>'Nj-AD+LD'!B22</f>
        <v>72</v>
      </c>
      <c r="C22" s="52">
        <f>'Nj-AD+LD'!C22</f>
        <v>795</v>
      </c>
      <c r="D22" s="51">
        <f>'Nj-AD+LD'!I22</f>
        <v>43</v>
      </c>
      <c r="E22" s="53">
        <f>'Nj-AD+LD'!J22</f>
        <v>418</v>
      </c>
      <c r="F22" s="51">
        <f>'Nj-AD+LD'!P22</f>
        <v>117</v>
      </c>
      <c r="G22" s="53">
        <f>'Nj-AD+LD'!Q22</f>
        <v>1482</v>
      </c>
      <c r="H22" s="51">
        <f>'Nj-AD+LD'!X22</f>
        <v>45</v>
      </c>
      <c r="I22" s="53">
        <f>'Nj-AD+LD'!Y22</f>
        <v>500</v>
      </c>
      <c r="J22" s="51">
        <f>'Nj-AD+LD'!AE22</f>
        <v>277</v>
      </c>
      <c r="K22" s="54">
        <f>'Nj-AD+LD'!AF22</f>
        <v>3195</v>
      </c>
    </row>
    <row r="23" spans="1:11" x14ac:dyDescent="0.2">
      <c r="A23" s="17">
        <v>1984</v>
      </c>
      <c r="B23" s="51">
        <f>'Nj-AD+LD'!B23</f>
        <v>88</v>
      </c>
      <c r="C23" s="52">
        <f>'Nj-AD+LD'!C23</f>
        <v>883</v>
      </c>
      <c r="D23" s="51">
        <f>'Nj-AD+LD'!I23</f>
        <v>61</v>
      </c>
      <c r="E23" s="53">
        <f>'Nj-AD+LD'!J23</f>
        <v>479</v>
      </c>
      <c r="F23" s="51">
        <f>'Nj-AD+LD'!P23</f>
        <v>121</v>
      </c>
      <c r="G23" s="53">
        <f>'Nj-AD+LD'!Q23</f>
        <v>1603</v>
      </c>
      <c r="H23" s="51">
        <f>'Nj-AD+LD'!X23</f>
        <v>71</v>
      </c>
      <c r="I23" s="53">
        <f>'Nj-AD+LD'!Y23</f>
        <v>571</v>
      </c>
      <c r="J23" s="51">
        <f>'Nj-AD+LD'!AE23</f>
        <v>341</v>
      </c>
      <c r="K23" s="54">
        <f>'Nj-AD+LD'!AF23</f>
        <v>3536</v>
      </c>
    </row>
    <row r="24" spans="1:11" x14ac:dyDescent="0.2">
      <c r="A24" s="17">
        <v>1985</v>
      </c>
      <c r="B24" s="51">
        <f>'Nj-AD+LD'!B24</f>
        <v>93</v>
      </c>
      <c r="C24" s="52">
        <f>'Nj-AD+LD'!C24</f>
        <v>976</v>
      </c>
      <c r="D24" s="51">
        <f>'Nj-AD+LD'!I24</f>
        <v>58</v>
      </c>
      <c r="E24" s="53">
        <f>'Nj-AD+LD'!J24</f>
        <v>537</v>
      </c>
      <c r="F24" s="51">
        <f>'Nj-AD+LD'!P24</f>
        <v>130</v>
      </c>
      <c r="G24" s="53">
        <f>'Nj-AD+LD'!Q24</f>
        <v>1733</v>
      </c>
      <c r="H24" s="51">
        <f>'Nj-AD+LD'!X24</f>
        <v>48</v>
      </c>
      <c r="I24" s="53">
        <f>'Nj-AD+LD'!Y24</f>
        <v>619</v>
      </c>
      <c r="J24" s="51">
        <f>'Nj-AD+LD'!AE24</f>
        <v>329</v>
      </c>
      <c r="K24" s="54">
        <f>'Nj-AD+LD'!AF24</f>
        <v>3865</v>
      </c>
    </row>
    <row r="25" spans="1:11" x14ac:dyDescent="0.2">
      <c r="A25" s="17">
        <v>1986</v>
      </c>
      <c r="B25" s="51">
        <f>'Nj-AD+LD'!B25</f>
        <v>82</v>
      </c>
      <c r="C25" s="52">
        <f>'Nj-AD+LD'!C25</f>
        <v>1058</v>
      </c>
      <c r="D25" s="51">
        <f>'Nj-AD+LD'!I25</f>
        <v>63</v>
      </c>
      <c r="E25" s="53">
        <f>'Nj-AD+LD'!J25</f>
        <v>600</v>
      </c>
      <c r="F25" s="51">
        <f>'Nj-AD+LD'!P25</f>
        <v>148</v>
      </c>
      <c r="G25" s="53">
        <f>'Nj-AD+LD'!Q25</f>
        <v>1881</v>
      </c>
      <c r="H25" s="51">
        <f>'Nj-AD+LD'!X25</f>
        <v>56</v>
      </c>
      <c r="I25" s="53">
        <f>'Nj-AD+LD'!Y25</f>
        <v>675</v>
      </c>
      <c r="J25" s="51">
        <f>'Nj-AD+LD'!AE25</f>
        <v>349</v>
      </c>
      <c r="K25" s="54">
        <f>'Nj-AD+LD'!AF25</f>
        <v>4214</v>
      </c>
    </row>
    <row r="26" spans="1:11" x14ac:dyDescent="0.2">
      <c r="A26" s="17">
        <v>1987</v>
      </c>
      <c r="B26" s="51">
        <f>'Nj-AD+LD'!B26</f>
        <v>89</v>
      </c>
      <c r="C26" s="52">
        <f>'Nj-AD+LD'!C26</f>
        <v>1147</v>
      </c>
      <c r="D26" s="51">
        <f>'Nj-AD+LD'!I26</f>
        <v>85</v>
      </c>
      <c r="E26" s="53">
        <f>'Nj-AD+LD'!J26</f>
        <v>685</v>
      </c>
      <c r="F26" s="51">
        <f>'Nj-AD+LD'!P26</f>
        <v>146</v>
      </c>
      <c r="G26" s="53">
        <f>'Nj-AD+LD'!Q26</f>
        <v>2027</v>
      </c>
      <c r="H26" s="51">
        <f>'Nj-AD+LD'!X26</f>
        <v>62</v>
      </c>
      <c r="I26" s="53">
        <f>'Nj-AD+LD'!Y26</f>
        <v>737</v>
      </c>
      <c r="J26" s="51">
        <f>'Nj-AD+LD'!AE26</f>
        <v>382</v>
      </c>
      <c r="K26" s="54">
        <f>'Nj-AD+LD'!AF26</f>
        <v>4596</v>
      </c>
    </row>
    <row r="27" spans="1:11" x14ac:dyDescent="0.2">
      <c r="A27" s="17">
        <v>1988</v>
      </c>
      <c r="B27" s="51">
        <f>'Nj-AD+LD'!B27</f>
        <v>87</v>
      </c>
      <c r="C27" s="52">
        <f>'Nj-AD+LD'!C27</f>
        <v>1234</v>
      </c>
      <c r="D27" s="51">
        <f>'Nj-AD+LD'!I27</f>
        <v>79</v>
      </c>
      <c r="E27" s="53">
        <f>'Nj-AD+LD'!J27</f>
        <v>764</v>
      </c>
      <c r="F27" s="51">
        <f>'Nj-AD+LD'!P27</f>
        <v>132</v>
      </c>
      <c r="G27" s="53">
        <f>'Nj-AD+LD'!Q27</f>
        <v>2159</v>
      </c>
      <c r="H27" s="51">
        <f>'Nj-AD+LD'!X27</f>
        <v>57</v>
      </c>
      <c r="I27" s="53">
        <f>'Nj-AD+LD'!Y27</f>
        <v>794</v>
      </c>
      <c r="J27" s="51">
        <f>'Nj-AD+LD'!AE27</f>
        <v>355</v>
      </c>
      <c r="K27" s="54">
        <f>'Nj-AD+LD'!AF27</f>
        <v>4951</v>
      </c>
    </row>
    <row r="28" spans="1:11" x14ac:dyDescent="0.2">
      <c r="A28" s="17">
        <v>1989</v>
      </c>
      <c r="B28" s="51">
        <f>'Nj-AD+LD'!B28</f>
        <v>79</v>
      </c>
      <c r="C28" s="52">
        <f>'Nj-AD+LD'!C28</f>
        <v>1313</v>
      </c>
      <c r="D28" s="51">
        <f>'Nj-AD+LD'!I28</f>
        <v>81</v>
      </c>
      <c r="E28" s="53">
        <f>'Nj-AD+LD'!J28</f>
        <v>845</v>
      </c>
      <c r="F28" s="51">
        <f>'Nj-AD+LD'!P28</f>
        <v>145</v>
      </c>
      <c r="G28" s="53">
        <f>'Nj-AD+LD'!Q28</f>
        <v>2304</v>
      </c>
      <c r="H28" s="51">
        <f>'Nj-AD+LD'!X28</f>
        <v>66</v>
      </c>
      <c r="I28" s="53">
        <f>'Nj-AD+LD'!Y28</f>
        <v>860</v>
      </c>
      <c r="J28" s="51">
        <f>'Nj-AD+LD'!AE28</f>
        <v>371</v>
      </c>
      <c r="K28" s="54">
        <f>'Nj-AD+LD'!AF28</f>
        <v>5322</v>
      </c>
    </row>
    <row r="29" spans="1:11" x14ac:dyDescent="0.2">
      <c r="A29" s="17">
        <v>1990</v>
      </c>
      <c r="B29" s="51">
        <f>'Nj-AD+LD'!B29</f>
        <v>89</v>
      </c>
      <c r="C29" s="52">
        <f>'Nj-AD+LD'!C29</f>
        <v>1402</v>
      </c>
      <c r="D29" s="51">
        <f>'Nj-AD+LD'!I29</f>
        <v>66</v>
      </c>
      <c r="E29" s="53">
        <f>'Nj-AD+LD'!J29</f>
        <v>911</v>
      </c>
      <c r="F29" s="51">
        <f>'Nj-AD+LD'!P29</f>
        <v>119</v>
      </c>
      <c r="G29" s="53">
        <f>'Nj-AD+LD'!Q29</f>
        <v>2423</v>
      </c>
      <c r="H29" s="51">
        <f>'Nj-AD+LD'!X29</f>
        <v>57</v>
      </c>
      <c r="I29" s="53">
        <f>'Nj-AD+LD'!Y29</f>
        <v>917</v>
      </c>
      <c r="J29" s="51">
        <f>'Nj-AD+LD'!AE29</f>
        <v>331</v>
      </c>
      <c r="K29" s="54">
        <f>'Nj-AD+LD'!AF29</f>
        <v>5653</v>
      </c>
    </row>
    <row r="30" spans="1:11" x14ac:dyDescent="0.2">
      <c r="A30" s="17">
        <v>1991</v>
      </c>
      <c r="B30" s="51">
        <f>'Nj-AD+LD'!B30</f>
        <v>80</v>
      </c>
      <c r="C30" s="52">
        <f>'Nj-AD+LD'!C30</f>
        <v>1482</v>
      </c>
      <c r="D30" s="51">
        <f>'Nj-AD+LD'!I30</f>
        <v>72</v>
      </c>
      <c r="E30" s="53">
        <f>'Nj-AD+LD'!J30</f>
        <v>983</v>
      </c>
      <c r="F30" s="51">
        <f>'Nj-AD+LD'!P30</f>
        <v>147</v>
      </c>
      <c r="G30" s="53">
        <f>'Nj-AD+LD'!Q30</f>
        <v>2570</v>
      </c>
      <c r="H30" s="51">
        <f>'Nj-AD+LD'!X30</f>
        <v>59</v>
      </c>
      <c r="I30" s="53">
        <f>'Nj-AD+LD'!Y30</f>
        <v>976</v>
      </c>
      <c r="J30" s="51">
        <f>'Nj-AD+LD'!AE30</f>
        <v>358</v>
      </c>
      <c r="K30" s="54">
        <f>'Nj-AD+LD'!AF30</f>
        <v>6011</v>
      </c>
    </row>
    <row r="31" spans="1:11" x14ac:dyDescent="0.2">
      <c r="A31" s="17">
        <v>1992</v>
      </c>
      <c r="B31" s="51">
        <f>'Nj-AD+LD'!B31</f>
        <v>76</v>
      </c>
      <c r="C31" s="52">
        <f>'Nj-AD+LD'!C31</f>
        <v>1558</v>
      </c>
      <c r="D31" s="51">
        <f>'Nj-AD+LD'!I31</f>
        <v>64</v>
      </c>
      <c r="E31" s="53">
        <f>'Nj-AD+LD'!J31</f>
        <v>1047</v>
      </c>
      <c r="F31" s="51">
        <f>'Nj-AD+LD'!P31</f>
        <v>125</v>
      </c>
      <c r="G31" s="53">
        <f>'Nj-AD+LD'!Q31</f>
        <v>2695</v>
      </c>
      <c r="H31" s="51">
        <f>'Nj-AD+LD'!X31</f>
        <v>52</v>
      </c>
      <c r="I31" s="53">
        <f>'Nj-AD+LD'!Y31</f>
        <v>1028</v>
      </c>
      <c r="J31" s="51">
        <f>'Nj-AD+LD'!AE31</f>
        <v>317</v>
      </c>
      <c r="K31" s="54">
        <f>'Nj-AD+LD'!AF31</f>
        <v>6328</v>
      </c>
    </row>
    <row r="32" spans="1:11" x14ac:dyDescent="0.2">
      <c r="A32" s="17">
        <v>1993</v>
      </c>
      <c r="B32" s="51">
        <f>'Nj-AD+LD'!B32</f>
        <v>86</v>
      </c>
      <c r="C32" s="52">
        <f>'Nj-AD+LD'!C32</f>
        <v>1644</v>
      </c>
      <c r="D32" s="51">
        <f>'Nj-AD+LD'!I32</f>
        <v>75</v>
      </c>
      <c r="E32" s="53">
        <f>'Nj-AD+LD'!J32</f>
        <v>1122</v>
      </c>
      <c r="F32" s="51">
        <f>'Nj-AD+LD'!P32</f>
        <v>125</v>
      </c>
      <c r="G32" s="53">
        <f>'Nj-AD+LD'!Q32</f>
        <v>2820</v>
      </c>
      <c r="H32" s="51">
        <f>'Nj-AD+LD'!X32</f>
        <v>67</v>
      </c>
      <c r="I32" s="53">
        <f>'Nj-AD+LD'!Y32</f>
        <v>1095</v>
      </c>
      <c r="J32" s="51">
        <f>'Nj-AD+LD'!AE32</f>
        <v>353</v>
      </c>
      <c r="K32" s="54">
        <f>'Nj-AD+LD'!AF32</f>
        <v>6681</v>
      </c>
    </row>
    <row r="33" spans="1:11" x14ac:dyDescent="0.2">
      <c r="A33" s="17">
        <v>1994</v>
      </c>
      <c r="B33" s="51">
        <f>'Nj-AD+LD'!B33</f>
        <v>76</v>
      </c>
      <c r="C33" s="52">
        <f>'Nj-AD+LD'!C33</f>
        <v>1720</v>
      </c>
      <c r="D33" s="51">
        <f>'Nj-AD+LD'!I33</f>
        <v>59</v>
      </c>
      <c r="E33" s="53">
        <f>'Nj-AD+LD'!J33</f>
        <v>1181</v>
      </c>
      <c r="F33" s="51">
        <f>'Nj-AD+LD'!P33</f>
        <v>131</v>
      </c>
      <c r="G33" s="53">
        <f>'Nj-AD+LD'!Q33</f>
        <v>2951</v>
      </c>
      <c r="H33" s="51">
        <f>'Nj-AD+LD'!X33</f>
        <v>56</v>
      </c>
      <c r="I33" s="53">
        <f>'Nj-AD+LD'!Y33</f>
        <v>1151</v>
      </c>
      <c r="J33" s="51">
        <f>'Nj-AD+LD'!AE33</f>
        <v>322</v>
      </c>
      <c r="K33" s="54">
        <f>'Nj-AD+LD'!AF33</f>
        <v>7003</v>
      </c>
    </row>
    <row r="34" spans="1:11" x14ac:dyDescent="0.2">
      <c r="A34" s="17">
        <v>1995</v>
      </c>
      <c r="B34" s="51">
        <f>'Nj-AD+LD'!B34</f>
        <v>62</v>
      </c>
      <c r="C34" s="52">
        <f>'Nj-AD+LD'!C34</f>
        <v>1782</v>
      </c>
      <c r="D34" s="51">
        <f>'Nj-AD+LD'!I34</f>
        <v>58</v>
      </c>
      <c r="E34" s="53">
        <f>'Nj-AD+LD'!J34</f>
        <v>1239</v>
      </c>
      <c r="F34" s="51">
        <f>'Nj-AD+LD'!P34</f>
        <v>101</v>
      </c>
      <c r="G34" s="53">
        <f>'Nj-AD+LD'!Q34</f>
        <v>3052</v>
      </c>
      <c r="H34" s="51">
        <f>'Nj-AD+LD'!X34</f>
        <v>62</v>
      </c>
      <c r="I34" s="53">
        <f>'Nj-AD+LD'!Y34</f>
        <v>1213</v>
      </c>
      <c r="J34" s="51">
        <f>'Nj-AD+LD'!AE34</f>
        <v>283</v>
      </c>
      <c r="K34" s="54">
        <f>'Nj-AD+LD'!AF34</f>
        <v>7286</v>
      </c>
    </row>
    <row r="35" spans="1:11" x14ac:dyDescent="0.2">
      <c r="A35" s="17">
        <v>1996</v>
      </c>
      <c r="B35" s="51">
        <f>'Nj-AD+LD'!B35</f>
        <v>76</v>
      </c>
      <c r="C35" s="52">
        <f>'Nj-AD+LD'!C35</f>
        <v>1858</v>
      </c>
      <c r="D35" s="51">
        <f>'Nj-AD+LD'!I35</f>
        <v>71</v>
      </c>
      <c r="E35" s="53">
        <f>'Nj-AD+LD'!J35</f>
        <v>1310</v>
      </c>
      <c r="F35" s="51">
        <f>'Nj-AD+LD'!P35</f>
        <v>116</v>
      </c>
      <c r="G35" s="53">
        <f>'Nj-AD+LD'!Q35</f>
        <v>3168</v>
      </c>
      <c r="H35" s="51">
        <f>'Nj-AD+LD'!X35</f>
        <v>45</v>
      </c>
      <c r="I35" s="53">
        <f>'Nj-AD+LD'!Y35</f>
        <v>1258</v>
      </c>
      <c r="J35" s="51">
        <f>'Nj-AD+LD'!AE35</f>
        <v>308</v>
      </c>
      <c r="K35" s="54">
        <f>'Nj-AD+LD'!AF35</f>
        <v>7594</v>
      </c>
    </row>
    <row r="36" spans="1:11" x14ac:dyDescent="0.2">
      <c r="A36" s="17">
        <v>1997</v>
      </c>
      <c r="B36" s="51">
        <f>'Nj-AD+LD'!B36</f>
        <v>89</v>
      </c>
      <c r="C36" s="52">
        <f>'Nj-AD+LD'!C36</f>
        <v>1947</v>
      </c>
      <c r="D36" s="51">
        <f>'Nj-AD+LD'!I36</f>
        <v>62</v>
      </c>
      <c r="E36" s="53">
        <f>'Nj-AD+LD'!J36</f>
        <v>1372</v>
      </c>
      <c r="F36" s="51">
        <f>'Nj-AD+LD'!P36</f>
        <v>128</v>
      </c>
      <c r="G36" s="53">
        <f>'Nj-AD+LD'!Q36</f>
        <v>3296</v>
      </c>
      <c r="H36" s="51">
        <f>'Nj-AD+LD'!X36</f>
        <v>57</v>
      </c>
      <c r="I36" s="53">
        <f>'Nj-AD+LD'!Y36</f>
        <v>1315</v>
      </c>
      <c r="J36" s="51">
        <f>'Nj-AD+LD'!AE36</f>
        <v>336</v>
      </c>
      <c r="K36" s="54">
        <f>'Nj-AD+LD'!AF36</f>
        <v>7930</v>
      </c>
    </row>
    <row r="37" spans="1:11" x14ac:dyDescent="0.2">
      <c r="A37" s="17">
        <v>1998</v>
      </c>
      <c r="B37" s="51">
        <f>'Nj-AD+LD'!B37</f>
        <v>82</v>
      </c>
      <c r="C37" s="52">
        <f>'Nj-AD+LD'!C37</f>
        <v>2029</v>
      </c>
      <c r="D37" s="51">
        <f>'Nj-AD+LD'!I37</f>
        <v>76</v>
      </c>
      <c r="E37" s="53">
        <f>'Nj-AD+LD'!J37</f>
        <v>1448</v>
      </c>
      <c r="F37" s="51">
        <f>'Nj-AD+LD'!P37</f>
        <v>146</v>
      </c>
      <c r="G37" s="53">
        <f>'Nj-AD+LD'!Q37</f>
        <v>3442</v>
      </c>
      <c r="H37" s="51">
        <f>'Nj-AD+LD'!X37</f>
        <v>53</v>
      </c>
      <c r="I37" s="53">
        <f>'Nj-AD+LD'!Y37</f>
        <v>1368</v>
      </c>
      <c r="J37" s="51">
        <f>'Nj-AD+LD'!AE37</f>
        <v>357</v>
      </c>
      <c r="K37" s="54">
        <f>'Nj-AD+LD'!AF37</f>
        <v>8287</v>
      </c>
    </row>
    <row r="38" spans="1:11" x14ac:dyDescent="0.2">
      <c r="A38" s="18">
        <v>1999</v>
      </c>
      <c r="B38" s="55">
        <f>'Nj-AD+LD'!B38</f>
        <v>59</v>
      </c>
      <c r="C38" s="56">
        <f>'Nj-AD+LD'!C38</f>
        <v>2088</v>
      </c>
      <c r="D38" s="55">
        <f>'Nj-AD+LD'!I38</f>
        <v>51</v>
      </c>
      <c r="E38" s="57">
        <f>'Nj-AD+LD'!J38</f>
        <v>1499</v>
      </c>
      <c r="F38" s="55">
        <f>'Nj-AD+LD'!P38</f>
        <v>128</v>
      </c>
      <c r="G38" s="57">
        <f>'Nj-AD+LD'!Q38</f>
        <v>3570</v>
      </c>
      <c r="H38" s="55">
        <f>'Nj-AD+LD'!X38</f>
        <v>63</v>
      </c>
      <c r="I38" s="57">
        <f>'Nj-AD+LD'!Y38</f>
        <v>1431</v>
      </c>
      <c r="J38" s="55">
        <f>'Nj-AD+LD'!AE38</f>
        <v>301</v>
      </c>
      <c r="K38" s="58">
        <f>'Nj-AD+LD'!AF38</f>
        <v>8588</v>
      </c>
    </row>
    <row r="39" spans="1:11" s="7" customFormat="1" ht="17.25" customHeight="1" x14ac:dyDescent="0.2">
      <c r="A39" s="17">
        <v>2000</v>
      </c>
      <c r="B39" s="51">
        <f>'Nj-AD+LD'!B39</f>
        <v>66</v>
      </c>
      <c r="C39" s="52">
        <f>'Nj-AD+LD'!C39</f>
        <v>2154</v>
      </c>
      <c r="D39" s="51">
        <f>'Nj-AD+LD'!I39</f>
        <v>66</v>
      </c>
      <c r="E39" s="53">
        <f>'Nj-AD+LD'!J39</f>
        <v>1565</v>
      </c>
      <c r="F39" s="51">
        <f>'Nj-AD+LD'!P39</f>
        <v>106</v>
      </c>
      <c r="G39" s="53">
        <f>'Nj-AD+LD'!Q39</f>
        <v>3676</v>
      </c>
      <c r="H39" s="51">
        <f>'Nj-AD+LD'!X39</f>
        <v>45</v>
      </c>
      <c r="I39" s="53">
        <f>'Nj-AD+LD'!Y39</f>
        <v>1476</v>
      </c>
      <c r="J39" s="51">
        <f>'Nj-AD+LD'!AE39</f>
        <v>283</v>
      </c>
      <c r="K39" s="54">
        <f>'Nj-AD+LD'!AF39</f>
        <v>8871</v>
      </c>
    </row>
    <row r="40" spans="1:11" x14ac:dyDescent="0.2">
      <c r="A40" s="17">
        <v>2001</v>
      </c>
      <c r="B40" s="51">
        <f>'Nj-AD+LD'!B40</f>
        <v>71</v>
      </c>
      <c r="C40" s="52">
        <f>'Nj-AD+LD'!C40</f>
        <v>2225</v>
      </c>
      <c r="D40" s="51">
        <f>'Nj-AD+LD'!I40</f>
        <v>71</v>
      </c>
      <c r="E40" s="53">
        <f>'Nj-AD+LD'!J40</f>
        <v>1636</v>
      </c>
      <c r="F40" s="51">
        <f>'Nj-AD+LD'!P40</f>
        <v>108</v>
      </c>
      <c r="G40" s="53">
        <f>'Nj-AD+LD'!Q40</f>
        <v>3784</v>
      </c>
      <c r="H40" s="51">
        <f>'Nj-AD+LD'!X40</f>
        <v>55</v>
      </c>
      <c r="I40" s="53">
        <f>'Nj-AD+LD'!Y40</f>
        <v>1531</v>
      </c>
      <c r="J40" s="51">
        <f>'Nj-AD+LD'!AE40</f>
        <v>305</v>
      </c>
      <c r="K40" s="54">
        <f>'Nj-AD+LD'!AF40</f>
        <v>9176</v>
      </c>
    </row>
    <row r="41" spans="1:11" x14ac:dyDescent="0.2">
      <c r="A41" s="17">
        <v>2002</v>
      </c>
      <c r="B41" s="51">
        <f>'Nj-AD+LD'!B41</f>
        <v>79</v>
      </c>
      <c r="C41" s="52">
        <f>'Nj-AD+LD'!C41</f>
        <v>2304</v>
      </c>
      <c r="D41" s="51">
        <f>'Nj-AD+LD'!I41</f>
        <v>59</v>
      </c>
      <c r="E41" s="53">
        <f>'Nj-AD+LD'!J41</f>
        <v>1695</v>
      </c>
      <c r="F41" s="51">
        <f>'Nj-AD+LD'!P41</f>
        <v>111</v>
      </c>
      <c r="G41" s="53">
        <f>'Nj-AD+LD'!Q41</f>
        <v>3895</v>
      </c>
      <c r="H41" s="51">
        <f>'Nj-AD+LD'!X41</f>
        <v>59</v>
      </c>
      <c r="I41" s="53">
        <f>'Nj-AD+LD'!Y41</f>
        <v>1590</v>
      </c>
      <c r="J41" s="51">
        <f>'Nj-AD+LD'!AE41</f>
        <v>308</v>
      </c>
      <c r="K41" s="54">
        <f>'Nj-AD+LD'!AF41</f>
        <v>9484</v>
      </c>
    </row>
    <row r="42" spans="1:11" x14ac:dyDescent="0.2">
      <c r="A42" s="17">
        <v>2003</v>
      </c>
      <c r="B42" s="51">
        <f>'Nj-AD+LD'!B42</f>
        <v>80</v>
      </c>
      <c r="C42" s="52">
        <f>'Nj-AD+LD'!C42</f>
        <v>2384</v>
      </c>
      <c r="D42" s="51">
        <f>'Nj-AD+LD'!I42</f>
        <v>72</v>
      </c>
      <c r="E42" s="53">
        <f>'Nj-AD+LD'!J42</f>
        <v>1767</v>
      </c>
      <c r="F42" s="51">
        <f>'Nj-AD+LD'!P42</f>
        <v>129</v>
      </c>
      <c r="G42" s="53">
        <f>'Nj-AD+LD'!Q42</f>
        <v>4024</v>
      </c>
      <c r="H42" s="51">
        <f>'Nj-AD+LD'!X42</f>
        <v>64</v>
      </c>
      <c r="I42" s="53">
        <f>'Nj-AD+LD'!Y42</f>
        <v>1654</v>
      </c>
      <c r="J42" s="51">
        <f>'Nj-AD+LD'!AE42</f>
        <v>345</v>
      </c>
      <c r="K42" s="54">
        <f>'Nj-AD+LD'!AF42</f>
        <v>9829</v>
      </c>
    </row>
    <row r="43" spans="1:11" x14ac:dyDescent="0.2">
      <c r="A43" s="17">
        <v>2004</v>
      </c>
      <c r="B43" s="51">
        <f>'Nj-AD+LD'!B43</f>
        <v>82</v>
      </c>
      <c r="C43" s="52">
        <f>'Nj-AD+LD'!C43</f>
        <v>2466</v>
      </c>
      <c r="D43" s="51">
        <f>'Nj-AD+LD'!I43</f>
        <v>92</v>
      </c>
      <c r="E43" s="53">
        <f>'Nj-AD+LD'!J43</f>
        <v>1859</v>
      </c>
      <c r="F43" s="51">
        <f>'Nj-AD+LD'!P43</f>
        <v>148</v>
      </c>
      <c r="G43" s="53">
        <f>'Nj-AD+LD'!Q43</f>
        <v>4172</v>
      </c>
      <c r="H43" s="51">
        <f>'Nj-AD+LD'!X43</f>
        <v>50</v>
      </c>
      <c r="I43" s="53">
        <f>'Nj-AD+LD'!Y43</f>
        <v>1704</v>
      </c>
      <c r="J43" s="51">
        <f>'Nj-AD+LD'!AE43</f>
        <v>372</v>
      </c>
      <c r="K43" s="133">
        <f>'Nj-AD+LD'!AF43</f>
        <v>10201</v>
      </c>
    </row>
    <row r="44" spans="1:11" s="67" customFormat="1" x14ac:dyDescent="0.2">
      <c r="A44" s="17">
        <v>2005</v>
      </c>
      <c r="B44" s="51">
        <f>'Nj-AD+LD'!B44</f>
        <v>70</v>
      </c>
      <c r="C44" s="52">
        <f>'Nj-AD+LD'!C44</f>
        <v>2536</v>
      </c>
      <c r="D44" s="51">
        <f>'Nj-AD+LD'!I44</f>
        <v>97</v>
      </c>
      <c r="E44" s="53">
        <f>'Nj-AD+LD'!J44</f>
        <v>1956</v>
      </c>
      <c r="F44" s="51">
        <f>'Nj-AD+LD'!P44</f>
        <v>167</v>
      </c>
      <c r="G44" s="53">
        <f>'Nj-AD+LD'!Q44</f>
        <v>4339</v>
      </c>
      <c r="H44" s="51">
        <f>'Nj-AD+LD'!X44</f>
        <v>57</v>
      </c>
      <c r="I44" s="53">
        <f>'Nj-AD+LD'!Y44</f>
        <v>1761</v>
      </c>
      <c r="J44" s="51">
        <f>'Nj-AD+LD'!AE44</f>
        <v>391</v>
      </c>
      <c r="K44" s="133">
        <f>'Nj-AD+LD'!AF44</f>
        <v>10592</v>
      </c>
    </row>
    <row r="45" spans="1:11" s="67" customFormat="1" x14ac:dyDescent="0.2">
      <c r="A45" s="17">
        <v>2006</v>
      </c>
      <c r="B45" s="51">
        <f>'Nj-AD+LD'!B45</f>
        <v>67</v>
      </c>
      <c r="C45" s="52">
        <f>'Nj-AD+LD'!C45</f>
        <v>2603</v>
      </c>
      <c r="D45" s="51">
        <f>'Nj-AD+LD'!I45</f>
        <v>87</v>
      </c>
      <c r="E45" s="53">
        <f>'Nj-AD+LD'!J45</f>
        <v>2043</v>
      </c>
      <c r="F45" s="51">
        <f>'Nj-AD+LD'!P45</f>
        <v>145</v>
      </c>
      <c r="G45" s="53">
        <f>'Nj-AD+LD'!Q45</f>
        <v>4484</v>
      </c>
      <c r="H45" s="51">
        <f>'Nj-AD+LD'!X45</f>
        <v>66</v>
      </c>
      <c r="I45" s="53">
        <f>'Nj-AD+LD'!Y45</f>
        <v>1827</v>
      </c>
      <c r="J45" s="51">
        <f>'Nj-AD+LD'!AE45</f>
        <v>365</v>
      </c>
      <c r="K45" s="133">
        <f>'Nj-AD+LD'!AF45</f>
        <v>10957</v>
      </c>
    </row>
    <row r="46" spans="1:11" s="67" customFormat="1" x14ac:dyDescent="0.2">
      <c r="A46" s="17">
        <v>2007</v>
      </c>
      <c r="B46" s="51">
        <f>'Nj-AD+LD'!B46</f>
        <v>80</v>
      </c>
      <c r="C46" s="52">
        <f>'Nj-AD+LD'!C46</f>
        <v>2683</v>
      </c>
      <c r="D46" s="51">
        <f>'Nj-AD+LD'!I46</f>
        <v>65</v>
      </c>
      <c r="E46" s="53">
        <f>'Nj-AD+LD'!J46</f>
        <v>2108</v>
      </c>
      <c r="F46" s="51">
        <f>'Nj-AD+LD'!P46</f>
        <v>158</v>
      </c>
      <c r="G46" s="53">
        <f>'Nj-AD+LD'!Q46</f>
        <v>4642</v>
      </c>
      <c r="H46" s="51">
        <f>'Nj-AD+LD'!X46</f>
        <v>76</v>
      </c>
      <c r="I46" s="53">
        <f>'Nj-AD+LD'!Y46</f>
        <v>1903</v>
      </c>
      <c r="J46" s="51">
        <f>'Nj-AD+LD'!AE46</f>
        <v>379</v>
      </c>
      <c r="K46" s="133">
        <f>'Nj-AD+LD'!AF46</f>
        <v>11336</v>
      </c>
    </row>
    <row r="47" spans="1:11" s="67" customFormat="1" x14ac:dyDescent="0.2">
      <c r="A47" s="17">
        <v>2008</v>
      </c>
      <c r="B47" s="51">
        <f>'Nj-AD+LD'!B47</f>
        <v>84</v>
      </c>
      <c r="C47" s="52">
        <f>'Nj-AD+LD'!C47</f>
        <v>2767</v>
      </c>
      <c r="D47" s="51">
        <f>'Nj-AD+LD'!I47</f>
        <v>94</v>
      </c>
      <c r="E47" s="53">
        <f>'Nj-AD+LD'!J47</f>
        <v>2202</v>
      </c>
      <c r="F47" s="51">
        <f>'Nj-AD+LD'!P47</f>
        <v>175</v>
      </c>
      <c r="G47" s="53">
        <f>'Nj-AD+LD'!Q47</f>
        <v>4817</v>
      </c>
      <c r="H47" s="137">
        <f>'Nj-AD+LD'!X47</f>
        <v>66</v>
      </c>
      <c r="I47" s="53">
        <f>'Nj-AD+LD'!Y47</f>
        <v>1969</v>
      </c>
      <c r="J47" s="51">
        <f>'Nj-AD+LD'!AE47</f>
        <v>419</v>
      </c>
      <c r="K47" s="133">
        <f>'Nj-AD+LD'!AF47</f>
        <v>11755</v>
      </c>
    </row>
    <row r="48" spans="1:11" s="67" customFormat="1" x14ac:dyDescent="0.2">
      <c r="A48" s="17">
        <v>2009</v>
      </c>
      <c r="B48" s="51">
        <f>'Nj-AD+LD'!B48</f>
        <v>71</v>
      </c>
      <c r="C48" s="52">
        <f>'Nj-AD+LD'!C48</f>
        <v>2838</v>
      </c>
      <c r="D48" s="51">
        <f>'Nj-AD+LD'!I48</f>
        <v>91</v>
      </c>
      <c r="E48" s="53">
        <f>'Nj-AD+LD'!J48</f>
        <v>2293</v>
      </c>
      <c r="F48" s="137">
        <f>'Nj-AD+LD'!P48</f>
        <v>148</v>
      </c>
      <c r="G48" s="53">
        <f>'Nj-AD+LD'!Q48</f>
        <v>4965</v>
      </c>
      <c r="H48" s="137">
        <f>'Nj-AD+LD'!X48</f>
        <v>82</v>
      </c>
      <c r="I48" s="53">
        <f>'Nj-AD+LD'!Y48</f>
        <v>2051</v>
      </c>
      <c r="J48" s="51">
        <f>'Nj-AD+LD'!AE48</f>
        <v>392</v>
      </c>
      <c r="K48" s="133">
        <f>'Nj-AD+LD'!AF48</f>
        <v>12147</v>
      </c>
    </row>
    <row r="49" spans="1:11" s="67" customFormat="1" x14ac:dyDescent="0.2">
      <c r="A49" s="17">
        <v>2010</v>
      </c>
      <c r="B49" s="51">
        <f>'Nj-AD+LD'!B49</f>
        <v>72</v>
      </c>
      <c r="C49" s="52">
        <f>'Nj-AD+LD'!C49</f>
        <v>2910</v>
      </c>
      <c r="D49" s="51">
        <f>'Nj-AD+LD'!I49</f>
        <v>86</v>
      </c>
      <c r="E49" s="53">
        <f>'Nj-AD+LD'!J49</f>
        <v>2379</v>
      </c>
      <c r="F49" s="137">
        <f>'Nj-AD+LD'!P49</f>
        <v>140</v>
      </c>
      <c r="G49" s="53">
        <f>'Nj-AD+LD'!Q49</f>
        <v>5105</v>
      </c>
      <c r="H49" s="137">
        <f>'Nj-AD+LD'!X49</f>
        <v>72</v>
      </c>
      <c r="I49" s="53">
        <f>'Nj-AD+LD'!Y49</f>
        <v>2123</v>
      </c>
      <c r="J49" s="51">
        <f>'Nj-AD+LD'!AE49</f>
        <v>370</v>
      </c>
      <c r="K49" s="133">
        <f>'Nj-AD+LD'!AF49</f>
        <v>12517</v>
      </c>
    </row>
    <row r="50" spans="1:11" s="165" customFormat="1" x14ac:dyDescent="0.2">
      <c r="A50" s="157">
        <v>2011</v>
      </c>
      <c r="B50" s="161">
        <f>'Nj-AD+LD'!B50</f>
        <v>110</v>
      </c>
      <c r="C50" s="127">
        <f>'Nj-AD+LD'!C50</f>
        <v>3020</v>
      </c>
      <c r="D50" s="161">
        <f>'Nj-AD+LD'!I50</f>
        <v>106</v>
      </c>
      <c r="E50" s="126">
        <f>'Nj-AD+LD'!J50</f>
        <v>2485</v>
      </c>
      <c r="F50" s="163">
        <f>'Nj-AD+LD'!P50</f>
        <v>159</v>
      </c>
      <c r="G50" s="126">
        <f>'Nj-AD+LD'!Q50</f>
        <v>5264</v>
      </c>
      <c r="H50" s="163">
        <f>'Nj-AD+LD'!X50</f>
        <v>60</v>
      </c>
      <c r="I50" s="126">
        <f>'Nj-AD+LD'!Y50</f>
        <v>2183</v>
      </c>
      <c r="J50" s="161">
        <f>'Nj-AD+LD'!AE50</f>
        <v>435</v>
      </c>
      <c r="K50" s="133">
        <f>'Nj-AD+LD'!AF50</f>
        <v>12952</v>
      </c>
    </row>
    <row r="51" spans="1:11" s="165" customFormat="1" x14ac:dyDescent="0.2">
      <c r="A51" s="157">
        <v>2012</v>
      </c>
      <c r="B51" s="161">
        <f>'Nj-AD+LD'!B51</f>
        <v>84</v>
      </c>
      <c r="C51" s="127">
        <f>'Nj-AD+LD'!C51</f>
        <v>3104</v>
      </c>
      <c r="D51" s="161">
        <f>'Nj-AD+LD'!I51</f>
        <v>118</v>
      </c>
      <c r="E51" s="126">
        <f>'Nj-AD+LD'!J51</f>
        <v>2603</v>
      </c>
      <c r="F51" s="163">
        <f>'Nj-AD+LD'!P51</f>
        <v>142</v>
      </c>
      <c r="G51" s="126">
        <f>'Nj-AD+LD'!Q51</f>
        <v>5406</v>
      </c>
      <c r="H51" s="163">
        <f>'Nj-AD+LD'!X51</f>
        <v>54</v>
      </c>
      <c r="I51" s="126">
        <f>'Nj-AD+LD'!Y51</f>
        <v>2237</v>
      </c>
      <c r="J51" s="161">
        <f>'Nj-AD+LD'!AE51</f>
        <v>398</v>
      </c>
      <c r="K51" s="133">
        <f>'Nj-AD+LD'!AF51</f>
        <v>13350</v>
      </c>
    </row>
    <row r="52" spans="1:11" s="165" customFormat="1" x14ac:dyDescent="0.2">
      <c r="A52" s="157">
        <v>2013</v>
      </c>
      <c r="B52" s="161">
        <f>'Nj-AD+LD'!B52</f>
        <v>79</v>
      </c>
      <c r="C52" s="127">
        <f>'Nj-AD+LD'!C52</f>
        <v>3183</v>
      </c>
      <c r="D52" s="161">
        <f>'Nj-AD+LD'!I52</f>
        <v>119</v>
      </c>
      <c r="E52" s="126">
        <f>'Nj-AD+LD'!J52</f>
        <v>2722</v>
      </c>
      <c r="F52" s="163">
        <f>'Nj-AD+LD'!P52</f>
        <v>155</v>
      </c>
      <c r="G52" s="126">
        <f>'Nj-AD+LD'!Q52</f>
        <v>5561</v>
      </c>
      <c r="H52" s="163">
        <f>'Nj-AD+LD'!X52</f>
        <v>68</v>
      </c>
      <c r="I52" s="126">
        <f>'Nj-AD+LD'!Y52</f>
        <v>2305</v>
      </c>
      <c r="J52" s="161">
        <f>'Nj-AD+LD'!AE52</f>
        <v>421</v>
      </c>
      <c r="K52" s="133">
        <f>'Nj-AD+LD'!AF52</f>
        <v>13771</v>
      </c>
    </row>
    <row r="53" spans="1:11" s="165" customFormat="1" x14ac:dyDescent="0.2">
      <c r="A53" s="157">
        <v>2014</v>
      </c>
      <c r="B53" s="161">
        <f>'Nj-AD+LD'!B53</f>
        <v>114</v>
      </c>
      <c r="C53" s="127">
        <f>'Nj-AD+LD'!C53</f>
        <v>3297</v>
      </c>
      <c r="D53" s="161">
        <f>'Nj-AD+LD'!I53</f>
        <v>115</v>
      </c>
      <c r="E53" s="126">
        <f>'Nj-AD+LD'!J53</f>
        <v>2837</v>
      </c>
      <c r="F53" s="163">
        <f>'Nj-AD+LD'!P53</f>
        <v>143</v>
      </c>
      <c r="G53" s="126">
        <f>'Nj-AD+LD'!Q53</f>
        <v>5704</v>
      </c>
      <c r="H53" s="163">
        <f>'Nj-AD+LD'!X53</f>
        <v>68</v>
      </c>
      <c r="I53" s="126">
        <f>'Nj-AD+LD'!Y53</f>
        <v>2373</v>
      </c>
      <c r="J53" s="161">
        <f>'Nj-AD+LD'!AE53</f>
        <v>440</v>
      </c>
      <c r="K53" s="133">
        <f>'Nj-AD+LD'!AF53</f>
        <v>14211</v>
      </c>
    </row>
    <row r="54" spans="1:11" s="165" customFormat="1" x14ac:dyDescent="0.2">
      <c r="A54" s="157">
        <v>2015</v>
      </c>
      <c r="B54" s="161">
        <f>'Nj-AD+LD'!B54</f>
        <v>92</v>
      </c>
      <c r="C54" s="127">
        <f>'Nj-AD+LD'!C54</f>
        <v>3389</v>
      </c>
      <c r="D54" s="161">
        <f>'Nj-AD+LD'!I54</f>
        <v>98</v>
      </c>
      <c r="E54" s="126">
        <f>'Nj-AD+LD'!J54</f>
        <v>2935</v>
      </c>
      <c r="F54" s="163">
        <f>'Nj-AD+LD'!P54</f>
        <v>189</v>
      </c>
      <c r="G54" s="126">
        <f>'Nj-AD+LD'!Q54</f>
        <v>5893</v>
      </c>
      <c r="H54" s="163">
        <f>'Nj-AD+LD'!X54</f>
        <v>47</v>
      </c>
      <c r="I54" s="126">
        <f>'Nj-AD+LD'!Y54</f>
        <v>2420</v>
      </c>
      <c r="J54" s="161">
        <f>'Nj-AD+LD'!AE54</f>
        <v>426</v>
      </c>
      <c r="K54" s="133">
        <f>'Nj-AD+LD'!AF54</f>
        <v>14637</v>
      </c>
    </row>
    <row r="55" spans="1:11" s="165" customFormat="1" x14ac:dyDescent="0.2">
      <c r="A55" s="17">
        <v>2016</v>
      </c>
      <c r="B55" s="161">
        <f>'Nj-AD+LD'!B55</f>
        <v>101</v>
      </c>
      <c r="C55" s="127">
        <f>'Nj-AD+LD'!C55</f>
        <v>3490</v>
      </c>
      <c r="D55" s="161">
        <f>'Nj-AD+LD'!I55</f>
        <v>112</v>
      </c>
      <c r="E55" s="126">
        <f>'Nj-AD+LD'!J55</f>
        <v>3047</v>
      </c>
      <c r="F55" s="163">
        <f>'Nj-AD+LD'!P55</f>
        <v>136</v>
      </c>
      <c r="G55" s="126">
        <f>'Nj-AD+LD'!Q55</f>
        <v>6029</v>
      </c>
      <c r="H55" s="163">
        <f>'Nj-AD+LD'!X55</f>
        <v>76</v>
      </c>
      <c r="I55" s="126">
        <f>'Nj-AD+LD'!Y55</f>
        <v>2496</v>
      </c>
      <c r="J55" s="161">
        <f>'Nj-AD+LD'!AE55</f>
        <v>425</v>
      </c>
      <c r="K55" s="133">
        <f>'Nj-AD+LD'!AF55</f>
        <v>15062</v>
      </c>
    </row>
    <row r="56" spans="1:11" s="165" customFormat="1" x14ac:dyDescent="0.2">
      <c r="A56" s="17">
        <v>2017</v>
      </c>
      <c r="B56" s="161">
        <f>'Nj-AD+LD'!B56</f>
        <v>118</v>
      </c>
      <c r="C56" s="127">
        <f>'Nj-AD+LD'!C56</f>
        <v>3608</v>
      </c>
      <c r="D56" s="161">
        <f>'Nj-AD+LD'!I56</f>
        <v>110</v>
      </c>
      <c r="E56" s="126">
        <f>'Nj-AD+LD'!J56</f>
        <v>3157</v>
      </c>
      <c r="F56" s="163">
        <f>'Nj-AD+LD'!P56</f>
        <v>150</v>
      </c>
      <c r="G56" s="126">
        <f>'Nj-AD+LD'!Q56</f>
        <v>6179</v>
      </c>
      <c r="H56" s="163">
        <f>'Nj-AD+LD'!X56</f>
        <v>96</v>
      </c>
      <c r="I56" s="126">
        <f>'Nj-AD+LD'!Y56</f>
        <v>2592</v>
      </c>
      <c r="J56" s="161">
        <f>'Nj-AD+LD'!AE56</f>
        <v>474</v>
      </c>
      <c r="K56" s="133">
        <f>'Nj-AD+LD'!AF56</f>
        <v>15536</v>
      </c>
    </row>
    <row r="57" spans="1:11" s="165" customFormat="1" x14ac:dyDescent="0.2">
      <c r="A57" s="17">
        <v>2018</v>
      </c>
      <c r="B57" s="171">
        <f>'Nj-AD+LD'!B57</f>
        <v>91</v>
      </c>
      <c r="C57" s="172">
        <f>'Nj-AD+LD'!C57</f>
        <v>3699</v>
      </c>
      <c r="D57" s="171">
        <f>'Nj-AD+LD'!I57</f>
        <v>99</v>
      </c>
      <c r="E57" s="134">
        <f>'Nj-AD+LD'!J57</f>
        <v>3256</v>
      </c>
      <c r="F57" s="173">
        <f>'Nj-AD+LD'!P57</f>
        <v>166</v>
      </c>
      <c r="G57" s="134">
        <f>'Nj-AD+LD'!Q57</f>
        <v>6345</v>
      </c>
      <c r="H57" s="173">
        <f>'Nj-AD+LD'!X57</f>
        <v>92</v>
      </c>
      <c r="I57" s="134">
        <f>'Nj-AD+LD'!Y57</f>
        <v>2684</v>
      </c>
      <c r="J57" s="171">
        <f>'Nj-AD+LD'!AE57</f>
        <v>448</v>
      </c>
      <c r="K57" s="142">
        <f>'Nj-AD+LD'!AF57</f>
        <v>15984</v>
      </c>
    </row>
    <row r="58" spans="1:11" s="165" customFormat="1" x14ac:dyDescent="0.2">
      <c r="A58" s="17">
        <v>2019</v>
      </c>
      <c r="B58" s="161">
        <f>'Nj-AD+LD'!B58</f>
        <v>104</v>
      </c>
      <c r="C58" s="127">
        <f>'Nj-AD+LD'!C58</f>
        <v>3803</v>
      </c>
      <c r="D58" s="161">
        <f>'Nj-AD+LD'!I58</f>
        <v>96</v>
      </c>
      <c r="E58" s="126">
        <f>'Nj-AD+LD'!J58</f>
        <v>3352</v>
      </c>
      <c r="F58" s="163">
        <f>'Nj-AD+LD'!P58</f>
        <v>202</v>
      </c>
      <c r="G58" s="126">
        <f>'Nj-AD+LD'!Q58</f>
        <v>6547</v>
      </c>
      <c r="H58" s="163">
        <f>'Nj-AD+LD'!X58</f>
        <v>74</v>
      </c>
      <c r="I58" s="126">
        <f>'Nj-AD+LD'!Y58</f>
        <v>2758</v>
      </c>
      <c r="J58" s="161">
        <f>'Nj-AD+LD'!AE58</f>
        <v>476</v>
      </c>
      <c r="K58" s="133">
        <f>'Nj-AD+LD'!AF58</f>
        <v>16460</v>
      </c>
    </row>
    <row r="59" spans="1:11" s="165" customFormat="1" x14ac:dyDescent="0.2">
      <c r="A59" s="17">
        <v>2020</v>
      </c>
      <c r="B59" s="161">
        <f>'Nj-AD+LD'!B59</f>
        <v>116</v>
      </c>
      <c r="C59" s="127">
        <f>'Nj-AD+LD'!C59</f>
        <v>3919</v>
      </c>
      <c r="D59" s="161">
        <f>'Nj-AD+LD'!I59</f>
        <v>95</v>
      </c>
      <c r="E59" s="126">
        <f>'Nj-AD+LD'!J59</f>
        <v>3447</v>
      </c>
      <c r="F59" s="163">
        <f>'Nj-AD+LD'!P59</f>
        <v>159</v>
      </c>
      <c r="G59" s="126">
        <f>'Nj-AD+LD'!Q59</f>
        <v>6706</v>
      </c>
      <c r="H59" s="163">
        <f>'Nj-AD+LD'!X59</f>
        <v>59</v>
      </c>
      <c r="I59" s="126">
        <f>'Nj-AD+LD'!Y59</f>
        <v>2817</v>
      </c>
      <c r="J59" s="161">
        <f>'Nj-AD+LD'!AE59</f>
        <v>429</v>
      </c>
      <c r="K59" s="133">
        <f>'Nj-AD+LD'!AF59</f>
        <v>16889</v>
      </c>
    </row>
    <row r="60" spans="1:11" s="165" customFormat="1" x14ac:dyDescent="0.2">
      <c r="A60" s="396">
        <v>2021</v>
      </c>
      <c r="B60" s="161">
        <f>'Nj-AD+LD'!B60</f>
        <v>118</v>
      </c>
      <c r="C60" s="127">
        <f>'Nj-AD+LD'!C60</f>
        <v>4037</v>
      </c>
      <c r="D60" s="161">
        <f>'Nj-AD+LD'!I60</f>
        <v>98</v>
      </c>
      <c r="E60" s="126">
        <f>'Nj-AD+LD'!J60</f>
        <v>3545</v>
      </c>
      <c r="F60" s="163">
        <f>'Nj-AD+LD'!P60</f>
        <v>147</v>
      </c>
      <c r="G60" s="126">
        <f>'Nj-AD+LD'!Q60</f>
        <v>6853</v>
      </c>
      <c r="H60" s="163">
        <f>'Nj-AD+LD'!X60</f>
        <v>82</v>
      </c>
      <c r="I60" s="126">
        <f>'Nj-AD+LD'!Y60</f>
        <v>2899</v>
      </c>
      <c r="J60" s="161">
        <f>'Nj-AD+LD'!AE60</f>
        <v>445</v>
      </c>
      <c r="K60" s="133">
        <f>'Nj-AD+LD'!AF60</f>
        <v>17334</v>
      </c>
    </row>
    <row r="61" spans="1:11" x14ac:dyDescent="0.2">
      <c r="A61" s="17">
        <v>2022</v>
      </c>
      <c r="B61" s="175">
        <f>'Nj-AD+LD'!B61</f>
        <v>120</v>
      </c>
      <c r="C61" s="151">
        <f>'Nj-AD+LD'!C61</f>
        <v>4157</v>
      </c>
      <c r="D61" s="175">
        <f>'Nj-AD+LD'!I61</f>
        <v>95</v>
      </c>
      <c r="E61" s="177">
        <f>'Nj-AD+LD'!J61</f>
        <v>3640</v>
      </c>
      <c r="F61" s="182">
        <f>'Nj-AD+LD'!P61</f>
        <v>174</v>
      </c>
      <c r="G61" s="177">
        <f>'Nj-AD+LD'!Q61</f>
        <v>7027</v>
      </c>
      <c r="H61" s="182">
        <f>'Nj-AD+LD'!X61</f>
        <v>76</v>
      </c>
      <c r="I61" s="177">
        <f>'Nj-AD+LD'!Y61</f>
        <v>2975</v>
      </c>
      <c r="J61" s="175">
        <f>'Nj-AD+LD'!AE61</f>
        <v>465</v>
      </c>
      <c r="K61" s="178">
        <f>'Nj-AD+LD'!AF61</f>
        <v>17799</v>
      </c>
    </row>
    <row r="62" spans="1:11" x14ac:dyDescent="0.2">
      <c r="A62" s="17">
        <v>2023</v>
      </c>
      <c r="B62" s="175">
        <f>'Nj-AD+LD'!B62</f>
        <v>147</v>
      </c>
      <c r="C62" s="151">
        <f>'Nj-AD+LD'!C62</f>
        <v>4304</v>
      </c>
      <c r="D62" s="175">
        <f>'Nj-AD+LD'!I62</f>
        <v>126</v>
      </c>
      <c r="E62" s="177">
        <f>'Nj-AD+LD'!J62</f>
        <v>3766</v>
      </c>
      <c r="F62" s="182">
        <f>'Nj-AD+LD'!P62</f>
        <v>182</v>
      </c>
      <c r="G62" s="177">
        <f>'Nj-AD+LD'!Q62</f>
        <v>7209</v>
      </c>
      <c r="H62" s="182">
        <f>'Nj-AD+LD'!X62</f>
        <v>68</v>
      </c>
      <c r="I62" s="177">
        <f>'Nj-AD+LD'!Y62</f>
        <v>3043</v>
      </c>
      <c r="J62" s="175">
        <f>'Nj-AD+LD'!AE62</f>
        <v>523</v>
      </c>
      <c r="K62" s="178">
        <f>'Nj-AD+LD'!AF62</f>
        <v>18322</v>
      </c>
    </row>
    <row r="63" spans="1:11" x14ac:dyDescent="0.2">
      <c r="A63" s="221">
        <v>2024</v>
      </c>
      <c r="B63" s="175">
        <f>'Nj-AD+LD'!B63</f>
        <v>132</v>
      </c>
      <c r="C63" s="151">
        <f>'Nj-AD+LD'!C63</f>
        <v>4436</v>
      </c>
      <c r="D63" s="175">
        <f>'Nj-AD+LD'!I63</f>
        <v>107</v>
      </c>
      <c r="E63" s="177">
        <f>'Nj-AD+LD'!J63</f>
        <v>3873</v>
      </c>
      <c r="F63" s="182">
        <f>'Nj-AD+LD'!P63</f>
        <v>192</v>
      </c>
      <c r="G63" s="177">
        <f>'Nj-AD+LD'!Q63</f>
        <v>7401</v>
      </c>
      <c r="H63" s="182">
        <f>'Nj-AD+LD'!X63</f>
        <v>81</v>
      </c>
      <c r="I63" s="177">
        <f>'Nj-AD+LD'!Y63</f>
        <v>3124</v>
      </c>
      <c r="J63" s="175">
        <f>'Nj-AD+LD'!AE63</f>
        <v>512</v>
      </c>
      <c r="K63" s="178">
        <f>'Nj-AD+LD'!AF63</f>
        <v>18834</v>
      </c>
    </row>
    <row r="64" spans="1:11" x14ac:dyDescent="0.2">
      <c r="A64" s="17">
        <v>2025</v>
      </c>
      <c r="B64" s="400">
        <f>'Nj-AD+LD'!B64</f>
        <v>0</v>
      </c>
      <c r="C64" s="151">
        <f>'Nj-AD+LD'!C64</f>
        <v>0</v>
      </c>
      <c r="D64" s="175">
        <f>'Nj-AD+LD'!I64</f>
        <v>0</v>
      </c>
      <c r="E64" s="177">
        <f>'Nj-AD+LD'!J64</f>
        <v>0</v>
      </c>
      <c r="F64" s="182">
        <f>'Nj-AD+LD'!P64</f>
        <v>0</v>
      </c>
      <c r="G64" s="177">
        <f>'Nj-AD+LD'!Q64</f>
        <v>0</v>
      </c>
      <c r="H64" s="182">
        <f>'Nj-AD+LD'!X64</f>
        <v>0</v>
      </c>
      <c r="I64" s="177">
        <f>'Nj-AD+LD'!Y64</f>
        <v>0</v>
      </c>
      <c r="J64" s="175">
        <f>'Nj-AD+LD'!AE64</f>
        <v>0</v>
      </c>
      <c r="K64" s="178">
        <f>'Nj-AD+LD'!AF64</f>
        <v>0</v>
      </c>
    </row>
    <row r="65" spans="1:11" x14ac:dyDescent="0.2">
      <c r="A65" s="17">
        <v>2026</v>
      </c>
      <c r="B65" s="175">
        <f>'Nj-AD+LD'!B65</f>
        <v>0</v>
      </c>
      <c r="C65" s="151">
        <f>'Nj-AD+LD'!C65</f>
        <v>0</v>
      </c>
      <c r="D65" s="175">
        <f>'Nj-AD+LD'!I65</f>
        <v>0</v>
      </c>
      <c r="E65" s="177">
        <f>'Nj-AD+LD'!J65</f>
        <v>0</v>
      </c>
      <c r="F65" s="182">
        <f>'Nj-AD+LD'!P65</f>
        <v>0</v>
      </c>
      <c r="G65" s="177">
        <f>'Nj-AD+LD'!Q65</f>
        <v>0</v>
      </c>
      <c r="H65" s="182">
        <f>'Nj-AD+LD'!X65</f>
        <v>0</v>
      </c>
      <c r="I65" s="177">
        <f>'Nj-AD+LD'!Y65</f>
        <v>0</v>
      </c>
      <c r="J65" s="175">
        <f>'Nj-AD+LD'!AE65</f>
        <v>0</v>
      </c>
      <c r="K65" s="178">
        <f>'Nj-AD+LD'!AF65</f>
        <v>0</v>
      </c>
    </row>
    <row r="66" spans="1:11" x14ac:dyDescent="0.2">
      <c r="A66" s="17">
        <v>2027</v>
      </c>
      <c r="B66" s="175">
        <f>'Nj-AD+LD'!B66</f>
        <v>0</v>
      </c>
      <c r="C66" s="151">
        <f>'Nj-AD+LD'!C66</f>
        <v>0</v>
      </c>
      <c r="D66" s="175">
        <f>'Nj-AD+LD'!I66</f>
        <v>0</v>
      </c>
      <c r="E66" s="177">
        <f>'Nj-AD+LD'!J66</f>
        <v>0</v>
      </c>
      <c r="F66" s="182">
        <f>'Nj-AD+LD'!P66</f>
        <v>0</v>
      </c>
      <c r="G66" s="177">
        <f>'Nj-AD+LD'!Q66</f>
        <v>0</v>
      </c>
      <c r="H66" s="182">
        <f>'Nj-AD+LD'!X66</f>
        <v>0</v>
      </c>
      <c r="I66" s="177">
        <f>'Nj-AD+LD'!Y66</f>
        <v>0</v>
      </c>
      <c r="J66" s="175">
        <f>'Nj-AD+LD'!AE66</f>
        <v>0</v>
      </c>
      <c r="K66" s="178">
        <f>'Nj-AD+LD'!AF66</f>
        <v>0</v>
      </c>
    </row>
    <row r="67" spans="1:11" x14ac:dyDescent="0.2">
      <c r="A67" s="17">
        <v>2028</v>
      </c>
      <c r="B67" s="175">
        <f>'Nj-AD+LD'!B67</f>
        <v>0</v>
      </c>
      <c r="C67" s="151">
        <f>'Nj-AD+LD'!C67</f>
        <v>0</v>
      </c>
      <c r="D67" s="175">
        <f>'Nj-AD+LD'!I67</f>
        <v>0</v>
      </c>
      <c r="E67" s="177">
        <f>'Nj-AD+LD'!J67</f>
        <v>0</v>
      </c>
      <c r="F67" s="182">
        <f>'Nj-AD+LD'!P67</f>
        <v>0</v>
      </c>
      <c r="G67" s="177">
        <f>'Nj-AD+LD'!Q67</f>
        <v>0</v>
      </c>
      <c r="H67" s="182">
        <f>'Nj-AD+LD'!X67</f>
        <v>0</v>
      </c>
      <c r="I67" s="177">
        <f>'Nj-AD+LD'!Y67</f>
        <v>0</v>
      </c>
      <c r="J67" s="175">
        <f>'Nj-AD+LD'!AE67</f>
        <v>0</v>
      </c>
      <c r="K67" s="178">
        <f>'Nj-AD+LD'!AF67</f>
        <v>0</v>
      </c>
    </row>
    <row r="68" spans="1:11" x14ac:dyDescent="0.2">
      <c r="A68" s="17">
        <v>2029</v>
      </c>
      <c r="B68" s="175">
        <f>'Nj-AD+LD'!B68</f>
        <v>0</v>
      </c>
      <c r="C68" s="151">
        <f>'Nj-AD+LD'!C68</f>
        <v>0</v>
      </c>
      <c r="D68" s="175">
        <f>'Nj-AD+LD'!I68</f>
        <v>0</v>
      </c>
      <c r="E68" s="177">
        <f>'Nj-AD+LD'!J68</f>
        <v>0</v>
      </c>
      <c r="F68" s="182">
        <f>'Nj-AD+LD'!P68</f>
        <v>0</v>
      </c>
      <c r="G68" s="177">
        <f>'Nj-AD+LD'!Q68</f>
        <v>0</v>
      </c>
      <c r="H68" s="182">
        <f>'Nj-AD+LD'!X68</f>
        <v>0</v>
      </c>
      <c r="I68" s="177">
        <f>'Nj-AD+LD'!Y68</f>
        <v>0</v>
      </c>
      <c r="J68" s="175">
        <f>'Nj-AD+LD'!AE68</f>
        <v>0</v>
      </c>
      <c r="K68" s="178">
        <f>'Nj-AD+LD'!AF68</f>
        <v>0</v>
      </c>
    </row>
    <row r="69" spans="1:11" x14ac:dyDescent="0.2">
      <c r="A69" s="17">
        <v>2030</v>
      </c>
      <c r="B69" s="175">
        <f>'Nj-AD+LD'!B69</f>
        <v>0</v>
      </c>
      <c r="C69" s="151">
        <f>'Nj-AD+LD'!C69</f>
        <v>0</v>
      </c>
      <c r="D69" s="175">
        <f>'Nj-AD+LD'!I69</f>
        <v>0</v>
      </c>
      <c r="E69" s="177">
        <f>'Nj-AD+LD'!J69</f>
        <v>0</v>
      </c>
      <c r="F69" s="182">
        <f>'Nj-AD+LD'!P69</f>
        <v>0</v>
      </c>
      <c r="G69" s="177">
        <f>'Nj-AD+LD'!Q69</f>
        <v>0</v>
      </c>
      <c r="H69" s="182">
        <f>'Nj-AD+LD'!X69</f>
        <v>0</v>
      </c>
      <c r="I69" s="177">
        <f>'Nj-AD+LD'!Y69</f>
        <v>0</v>
      </c>
      <c r="J69" s="175">
        <f>'Nj-AD+LD'!AE69</f>
        <v>0</v>
      </c>
      <c r="K69" s="178">
        <f>'Nj-AD+LD'!AF69</f>
        <v>0</v>
      </c>
    </row>
    <row r="70" spans="1:11" x14ac:dyDescent="0.2">
      <c r="A70" s="17"/>
      <c r="B70" s="175">
        <f>'Nj-AD+LD'!B70</f>
        <v>0</v>
      </c>
      <c r="C70" s="151">
        <f>'Nj-AD+LD'!C70</f>
        <v>0</v>
      </c>
      <c r="D70" s="175">
        <f>'Nj-AD+LD'!I70</f>
        <v>0</v>
      </c>
      <c r="E70" s="177">
        <f>'Nj-AD+LD'!J70</f>
        <v>0</v>
      </c>
      <c r="F70" s="182">
        <f>'Nj-AD+LD'!P70</f>
        <v>0</v>
      </c>
      <c r="G70" s="177">
        <f>'Nj-AD+LD'!Q70</f>
        <v>0</v>
      </c>
      <c r="H70" s="182">
        <f>'Nj-AD+LD'!X70</f>
        <v>0</v>
      </c>
      <c r="I70" s="177">
        <f>'Nj-AD+LD'!Y70</f>
        <v>0</v>
      </c>
      <c r="J70" s="175">
        <f>'Nj-AD+LD'!AE70</f>
        <v>0</v>
      </c>
      <c r="K70" s="178">
        <f>'Nj-AD+LD'!AF70</f>
        <v>0</v>
      </c>
    </row>
    <row r="71" spans="1:11" x14ac:dyDescent="0.2">
      <c r="A71" s="17"/>
      <c r="B71" s="175">
        <f>'Nj-AD+LD'!B71</f>
        <v>0</v>
      </c>
      <c r="C71" s="151">
        <f>'Nj-AD+LD'!C71</f>
        <v>0</v>
      </c>
      <c r="D71" s="175">
        <f>'Nj-AD+LD'!I71</f>
        <v>0</v>
      </c>
      <c r="E71" s="177">
        <f>'Nj-AD+LD'!J71</f>
        <v>0</v>
      </c>
      <c r="F71" s="182">
        <f>'Nj-AD+LD'!P71</f>
        <v>0</v>
      </c>
      <c r="G71" s="177">
        <f>'Nj-AD+LD'!Q71</f>
        <v>0</v>
      </c>
      <c r="H71" s="182">
        <f>'Nj-AD+LD'!X71</f>
        <v>0</v>
      </c>
      <c r="I71" s="177">
        <f>'Nj-AD+LD'!Y71</f>
        <v>0</v>
      </c>
      <c r="J71" s="175">
        <f>'Nj-AD+LD'!AE71</f>
        <v>0</v>
      </c>
      <c r="K71" s="178">
        <f>'Nj-AD+LD'!AF71</f>
        <v>0</v>
      </c>
    </row>
    <row r="72" spans="1:11" x14ac:dyDescent="0.2">
      <c r="A72" s="18"/>
      <c r="B72" s="175">
        <f>'Nj-AD+LD'!B72</f>
        <v>0</v>
      </c>
      <c r="C72" s="151">
        <f>'Nj-AD+LD'!C72</f>
        <v>0</v>
      </c>
      <c r="D72" s="175">
        <f>'Nj-AD+LD'!I72</f>
        <v>0</v>
      </c>
      <c r="E72" s="177">
        <f>'Nj-AD+LD'!J72</f>
        <v>0</v>
      </c>
      <c r="F72" s="182">
        <f>'Nj-AD+LD'!P72</f>
        <v>0</v>
      </c>
      <c r="G72" s="177">
        <f>'Nj-AD+LD'!Q72</f>
        <v>0</v>
      </c>
      <c r="H72" s="182">
        <f>'Nj-AD+LD'!X72</f>
        <v>0</v>
      </c>
      <c r="I72" s="177">
        <f>'Nj-AD+LD'!Y72</f>
        <v>0</v>
      </c>
      <c r="J72" s="175">
        <f>'Nj-AD+LD'!AE72</f>
        <v>0</v>
      </c>
      <c r="K72" s="178">
        <f>'Nj-AD+LD'!AF72</f>
        <v>0</v>
      </c>
    </row>
    <row r="73" spans="1:11" x14ac:dyDescent="0.2">
      <c r="B73" s="12"/>
      <c r="C73" s="12"/>
    </row>
    <row r="74" spans="1:11" x14ac:dyDescent="0.2">
      <c r="B74" s="12"/>
      <c r="C74" s="12"/>
    </row>
    <row r="75" spans="1:11" x14ac:dyDescent="0.2">
      <c r="B75" s="12"/>
      <c r="C75" s="12"/>
    </row>
    <row r="76" spans="1:11" x14ac:dyDescent="0.2">
      <c r="B76" s="12"/>
      <c r="C76" s="12"/>
    </row>
    <row r="77" spans="1:11" x14ac:dyDescent="0.2">
      <c r="B77" s="12"/>
      <c r="C77" s="12"/>
    </row>
  </sheetData>
  <mergeCells count="5">
    <mergeCell ref="B1:C1"/>
    <mergeCell ref="J1:K1"/>
    <mergeCell ref="D1:E1"/>
    <mergeCell ref="F1:G1"/>
    <mergeCell ref="H1:I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3"/>
  </sheetPr>
  <dimension ref="A1:AM339"/>
  <sheetViews>
    <sheetView showGridLines="0" topLeftCell="B1" zoomScaleNormal="100" workbookViewId="0">
      <pane ySplit="2" topLeftCell="A42" activePane="bottomLeft" state="frozen"/>
      <selection activeCell="K87" sqref="K87"/>
      <selection pane="bottomLeft" activeCell="AB63" sqref="AB63"/>
    </sheetView>
  </sheetViews>
  <sheetFormatPr defaultColWidth="8.85546875" defaultRowHeight="12.75" x14ac:dyDescent="0.2"/>
  <cols>
    <col min="1" max="1" width="5.5703125" style="1" customWidth="1"/>
    <col min="2" max="22" width="6.42578125" customWidth="1"/>
    <col min="23" max="23" width="0.42578125" customWidth="1"/>
    <col min="24" max="37" width="6.42578125" customWidth="1"/>
  </cols>
  <sheetData>
    <row r="1" spans="1:37" s="6" customFormat="1" ht="20.25" customHeight="1" x14ac:dyDescent="0.2">
      <c r="A1" s="440" t="s">
        <v>4</v>
      </c>
      <c r="B1" s="435"/>
      <c r="C1" s="435"/>
      <c r="D1" s="435"/>
      <c r="E1" s="435"/>
      <c r="F1" s="435"/>
      <c r="G1" s="435"/>
      <c r="H1" s="435"/>
      <c r="I1" s="434" t="s">
        <v>5</v>
      </c>
      <c r="J1" s="435"/>
      <c r="K1" s="435"/>
      <c r="L1" s="435"/>
      <c r="M1" s="435"/>
      <c r="N1" s="435"/>
      <c r="O1" s="437"/>
      <c r="P1" s="435" t="s">
        <v>6</v>
      </c>
      <c r="Q1" s="435"/>
      <c r="R1" s="435"/>
      <c r="S1" s="435"/>
      <c r="T1" s="435"/>
      <c r="U1" s="435"/>
      <c r="V1" s="435"/>
      <c r="W1" s="23"/>
      <c r="X1" s="434" t="s">
        <v>7</v>
      </c>
      <c r="Y1" s="435"/>
      <c r="Z1" s="435"/>
      <c r="AA1" s="435"/>
      <c r="AB1" s="435"/>
      <c r="AC1" s="435"/>
      <c r="AD1" s="437"/>
      <c r="AE1" s="435" t="s">
        <v>8</v>
      </c>
      <c r="AF1" s="435"/>
      <c r="AG1" s="435"/>
      <c r="AH1" s="435"/>
      <c r="AI1" s="435"/>
      <c r="AJ1" s="435"/>
      <c r="AK1" s="436"/>
    </row>
    <row r="2" spans="1:37" s="2" customFormat="1" ht="25.5" customHeight="1" thickBot="1" x14ac:dyDescent="0.25">
      <c r="A2" s="5" t="s">
        <v>9</v>
      </c>
      <c r="B2" s="3" t="s">
        <v>0</v>
      </c>
      <c r="C2" s="4" t="s">
        <v>1</v>
      </c>
      <c r="D2" s="5" t="s">
        <v>44</v>
      </c>
      <c r="E2" s="5" t="s">
        <v>45</v>
      </c>
      <c r="F2" s="5" t="s">
        <v>2</v>
      </c>
      <c r="G2" s="5" t="s">
        <v>36</v>
      </c>
      <c r="H2" s="4" t="s">
        <v>3</v>
      </c>
      <c r="I2" s="3" t="s">
        <v>0</v>
      </c>
      <c r="J2" s="4" t="s">
        <v>1</v>
      </c>
      <c r="K2" s="5" t="s">
        <v>44</v>
      </c>
      <c r="L2" s="5" t="s">
        <v>45</v>
      </c>
      <c r="M2" s="5" t="s">
        <v>2</v>
      </c>
      <c r="N2" s="5" t="s">
        <v>36</v>
      </c>
      <c r="O2" s="4" t="s">
        <v>3</v>
      </c>
      <c r="P2" s="3" t="s">
        <v>0</v>
      </c>
      <c r="Q2" s="4" t="s">
        <v>1</v>
      </c>
      <c r="R2" s="5" t="s">
        <v>44</v>
      </c>
      <c r="S2" s="5" t="s">
        <v>45</v>
      </c>
      <c r="T2" s="5" t="s">
        <v>2</v>
      </c>
      <c r="U2" s="5" t="s">
        <v>36</v>
      </c>
      <c r="V2" s="5" t="s">
        <v>3</v>
      </c>
      <c r="W2" s="24"/>
      <c r="X2" s="3" t="s">
        <v>0</v>
      </c>
      <c r="Y2" s="4" t="s">
        <v>1</v>
      </c>
      <c r="Z2" s="5" t="s">
        <v>44</v>
      </c>
      <c r="AA2" s="5" t="s">
        <v>45</v>
      </c>
      <c r="AB2" s="5" t="s">
        <v>2</v>
      </c>
      <c r="AC2" s="5" t="s">
        <v>36</v>
      </c>
      <c r="AD2" s="4" t="s">
        <v>3</v>
      </c>
      <c r="AE2" s="3" t="s">
        <v>0</v>
      </c>
      <c r="AF2" s="4" t="s">
        <v>1</v>
      </c>
      <c r="AG2" s="5" t="s">
        <v>44</v>
      </c>
      <c r="AH2" s="5" t="s">
        <v>45</v>
      </c>
      <c r="AI2" s="5" t="s">
        <v>2</v>
      </c>
      <c r="AJ2" s="5" t="s">
        <v>36</v>
      </c>
      <c r="AK2" s="4" t="s">
        <v>3</v>
      </c>
    </row>
    <row r="3" spans="1:37" s="67" customFormat="1" ht="17.25" customHeight="1" thickTop="1" x14ac:dyDescent="0.2">
      <c r="A3" s="17">
        <v>1964</v>
      </c>
      <c r="B3" s="51">
        <f>D3+F3</f>
        <v>7</v>
      </c>
      <c r="C3" s="59">
        <f>D3+F3</f>
        <v>7</v>
      </c>
      <c r="D3" s="59">
        <v>3</v>
      </c>
      <c r="E3" s="59"/>
      <c r="F3" s="59">
        <v>4</v>
      </c>
      <c r="G3" s="59">
        <f>D3</f>
        <v>3</v>
      </c>
      <c r="H3" s="59">
        <f>F3</f>
        <v>4</v>
      </c>
      <c r="I3" s="51"/>
      <c r="J3" s="59"/>
      <c r="K3" s="59"/>
      <c r="L3" s="59"/>
      <c r="M3" s="59"/>
      <c r="N3" s="59"/>
      <c r="O3" s="59"/>
      <c r="P3" s="51"/>
      <c r="Q3" s="59"/>
      <c r="R3" s="59"/>
      <c r="S3" s="59"/>
      <c r="T3" s="59"/>
      <c r="U3" s="59"/>
      <c r="V3" s="65"/>
      <c r="W3" s="66"/>
      <c r="X3" s="60"/>
      <c r="Y3" s="59"/>
      <c r="Z3" s="59"/>
      <c r="AA3" s="59"/>
      <c r="AB3" s="59"/>
      <c r="AC3" s="59"/>
      <c r="AD3" s="59"/>
      <c r="AE3" s="51">
        <f>AG3+AI3</f>
        <v>7</v>
      </c>
      <c r="AF3" s="59">
        <f>AG3+AI3</f>
        <v>7</v>
      </c>
      <c r="AG3" s="59">
        <f t="shared" ref="AG3:AG43" si="0">D3+K3+R3+Z3</f>
        <v>3</v>
      </c>
      <c r="AH3" s="59"/>
      <c r="AI3" s="59">
        <f t="shared" ref="AI3:AI43" si="1">F3+M3+T3+AB3</f>
        <v>4</v>
      </c>
      <c r="AJ3" s="59">
        <f>AG3</f>
        <v>3</v>
      </c>
      <c r="AK3" s="59">
        <f>AI3</f>
        <v>4</v>
      </c>
    </row>
    <row r="4" spans="1:37" s="67" customFormat="1" x14ac:dyDescent="0.2">
      <c r="A4" s="17">
        <v>1965</v>
      </c>
      <c r="B4" s="51">
        <f t="shared" ref="B4:B44" si="2">D4+F4</f>
        <v>9</v>
      </c>
      <c r="C4" s="53">
        <f>C3+B4</f>
        <v>16</v>
      </c>
      <c r="D4" s="54">
        <v>3</v>
      </c>
      <c r="E4" s="54"/>
      <c r="F4" s="54">
        <v>6</v>
      </c>
      <c r="G4" s="54">
        <f>G3+D4</f>
        <v>6</v>
      </c>
      <c r="H4" s="54">
        <f>H3+F4</f>
        <v>10</v>
      </c>
      <c r="I4" s="51"/>
      <c r="J4" s="53"/>
      <c r="K4" s="54"/>
      <c r="L4" s="54"/>
      <c r="M4" s="54"/>
      <c r="N4" s="54"/>
      <c r="O4" s="54"/>
      <c r="P4" s="51">
        <f t="shared" ref="P4:P44" si="3">R4+T4</f>
        <v>5</v>
      </c>
      <c r="Q4" s="53">
        <f>Q3+P4</f>
        <v>5</v>
      </c>
      <c r="R4" s="54">
        <v>3</v>
      </c>
      <c r="S4" s="54"/>
      <c r="T4" s="54">
        <v>2</v>
      </c>
      <c r="U4" s="54">
        <f>U3+R4</f>
        <v>3</v>
      </c>
      <c r="V4" s="53">
        <f>V3+T4</f>
        <v>2</v>
      </c>
      <c r="W4" s="68"/>
      <c r="X4" s="51"/>
      <c r="Y4" s="53"/>
      <c r="Z4" s="54"/>
      <c r="AA4" s="54"/>
      <c r="AB4" s="54"/>
      <c r="AC4" s="54"/>
      <c r="AD4" s="54"/>
      <c r="AE4" s="51">
        <f t="shared" ref="AE4:AE43" si="4">AG4+AI4</f>
        <v>14</v>
      </c>
      <c r="AF4" s="53">
        <f>AF3+AE4</f>
        <v>21</v>
      </c>
      <c r="AG4" s="54">
        <f t="shared" si="0"/>
        <v>6</v>
      </c>
      <c r="AH4" s="54"/>
      <c r="AI4" s="54">
        <f t="shared" si="1"/>
        <v>8</v>
      </c>
      <c r="AJ4" s="54">
        <f>AJ3+AG4</f>
        <v>9</v>
      </c>
      <c r="AK4" s="54">
        <f>AK3+AI4</f>
        <v>12</v>
      </c>
    </row>
    <row r="5" spans="1:37" s="67" customFormat="1" x14ac:dyDescent="0.2">
      <c r="A5" s="17">
        <v>1966</v>
      </c>
      <c r="B5" s="51">
        <f t="shared" si="2"/>
        <v>15</v>
      </c>
      <c r="C5" s="53">
        <f t="shared" ref="C5:C44" si="5">C4+B5</f>
        <v>31</v>
      </c>
      <c r="D5" s="54">
        <v>4</v>
      </c>
      <c r="E5" s="54"/>
      <c r="F5" s="54">
        <v>11</v>
      </c>
      <c r="G5" s="54">
        <f t="shared" ref="G5:G43" si="6">G4+D5</f>
        <v>10</v>
      </c>
      <c r="H5" s="54">
        <f t="shared" ref="H5:H43" si="7">H4+F5</f>
        <v>21</v>
      </c>
      <c r="I5" s="51"/>
      <c r="J5" s="53"/>
      <c r="K5" s="54"/>
      <c r="L5" s="54"/>
      <c r="M5" s="54"/>
      <c r="N5" s="54"/>
      <c r="O5" s="54"/>
      <c r="P5" s="51">
        <f t="shared" si="3"/>
        <v>24</v>
      </c>
      <c r="Q5" s="53">
        <f t="shared" ref="Q5:Q43" si="8">Q4+P5</f>
        <v>29</v>
      </c>
      <c r="R5" s="54">
        <v>12</v>
      </c>
      <c r="S5" s="54"/>
      <c r="T5" s="54">
        <v>12</v>
      </c>
      <c r="U5" s="54">
        <f t="shared" ref="U5:U43" si="9">U4+R5</f>
        <v>15</v>
      </c>
      <c r="V5" s="53">
        <f t="shared" ref="V5:V43" si="10">V4+T5</f>
        <v>14</v>
      </c>
      <c r="W5" s="68"/>
      <c r="X5" s="51"/>
      <c r="Y5" s="53"/>
      <c r="Z5" s="54"/>
      <c r="AA5" s="54"/>
      <c r="AB5" s="54"/>
      <c r="AC5" s="54"/>
      <c r="AD5" s="54"/>
      <c r="AE5" s="51">
        <f t="shared" si="4"/>
        <v>39</v>
      </c>
      <c r="AF5" s="53">
        <f t="shared" ref="AF5:AF43" si="11">AF4+AE5</f>
        <v>60</v>
      </c>
      <c r="AG5" s="54">
        <f t="shared" si="0"/>
        <v>16</v>
      </c>
      <c r="AH5" s="54"/>
      <c r="AI5" s="54">
        <f t="shared" si="1"/>
        <v>23</v>
      </c>
      <c r="AJ5" s="54">
        <f t="shared" ref="AJ5:AJ43" si="12">AJ4+AG5</f>
        <v>25</v>
      </c>
      <c r="AK5" s="54">
        <f t="shared" ref="AK5:AK43" si="13">AK4+AI5</f>
        <v>35</v>
      </c>
    </row>
    <row r="6" spans="1:37" s="67" customFormat="1" x14ac:dyDescent="0.2">
      <c r="A6" s="17">
        <v>1967</v>
      </c>
      <c r="B6" s="51">
        <f t="shared" si="2"/>
        <v>12</v>
      </c>
      <c r="C6" s="53">
        <f t="shared" si="5"/>
        <v>43</v>
      </c>
      <c r="D6" s="54">
        <v>8</v>
      </c>
      <c r="E6" s="54"/>
      <c r="F6" s="54">
        <v>4</v>
      </c>
      <c r="G6" s="54">
        <f t="shared" si="6"/>
        <v>18</v>
      </c>
      <c r="H6" s="54">
        <f t="shared" si="7"/>
        <v>25</v>
      </c>
      <c r="I6" s="51"/>
      <c r="J6" s="53"/>
      <c r="K6" s="54"/>
      <c r="L6" s="54"/>
      <c r="M6" s="54"/>
      <c r="N6" s="54"/>
      <c r="O6" s="54"/>
      <c r="P6" s="51">
        <f t="shared" si="3"/>
        <v>45</v>
      </c>
      <c r="Q6" s="53">
        <f t="shared" si="8"/>
        <v>74</v>
      </c>
      <c r="R6" s="54">
        <v>32</v>
      </c>
      <c r="S6" s="54"/>
      <c r="T6" s="54">
        <v>13</v>
      </c>
      <c r="U6" s="54">
        <f t="shared" si="9"/>
        <v>47</v>
      </c>
      <c r="V6" s="53">
        <f t="shared" si="10"/>
        <v>27</v>
      </c>
      <c r="W6" s="68"/>
      <c r="X6" s="51"/>
      <c r="Y6" s="53"/>
      <c r="Z6" s="54"/>
      <c r="AA6" s="54"/>
      <c r="AB6" s="54"/>
      <c r="AC6" s="54"/>
      <c r="AD6" s="54"/>
      <c r="AE6" s="51">
        <f t="shared" si="4"/>
        <v>57</v>
      </c>
      <c r="AF6" s="53">
        <f t="shared" si="11"/>
        <v>117</v>
      </c>
      <c r="AG6" s="54">
        <f t="shared" si="0"/>
        <v>40</v>
      </c>
      <c r="AH6" s="54"/>
      <c r="AI6" s="54">
        <f t="shared" si="1"/>
        <v>17</v>
      </c>
      <c r="AJ6" s="54">
        <f t="shared" si="12"/>
        <v>65</v>
      </c>
      <c r="AK6" s="54">
        <f t="shared" si="13"/>
        <v>52</v>
      </c>
    </row>
    <row r="7" spans="1:37" s="67" customFormat="1" x14ac:dyDescent="0.2">
      <c r="A7" s="17">
        <v>1968</v>
      </c>
      <c r="B7" s="51">
        <f t="shared" si="2"/>
        <v>15</v>
      </c>
      <c r="C7" s="53">
        <f t="shared" si="5"/>
        <v>58</v>
      </c>
      <c r="D7" s="54">
        <v>12</v>
      </c>
      <c r="E7" s="54"/>
      <c r="F7" s="54">
        <v>3</v>
      </c>
      <c r="G7" s="54">
        <f t="shared" si="6"/>
        <v>30</v>
      </c>
      <c r="H7" s="54">
        <f t="shared" si="7"/>
        <v>28</v>
      </c>
      <c r="I7" s="51"/>
      <c r="J7" s="53"/>
      <c r="K7" s="54"/>
      <c r="L7" s="54"/>
      <c r="M7" s="54"/>
      <c r="N7" s="54"/>
      <c r="O7" s="54"/>
      <c r="P7" s="51">
        <f t="shared" si="3"/>
        <v>53</v>
      </c>
      <c r="Q7" s="53">
        <f t="shared" si="8"/>
        <v>127</v>
      </c>
      <c r="R7" s="54">
        <v>41</v>
      </c>
      <c r="S7" s="54"/>
      <c r="T7" s="54">
        <v>12</v>
      </c>
      <c r="U7" s="54">
        <f t="shared" si="9"/>
        <v>88</v>
      </c>
      <c r="V7" s="53">
        <f t="shared" si="10"/>
        <v>39</v>
      </c>
      <c r="W7" s="68"/>
      <c r="X7" s="51">
        <f t="shared" ref="X7:X43" si="14">Z7+AB7</f>
        <v>3</v>
      </c>
      <c r="Y7" s="53">
        <f t="shared" ref="Y7:Y43" si="15">Y6+X7</f>
        <v>3</v>
      </c>
      <c r="Z7" s="54">
        <v>2</v>
      </c>
      <c r="AA7" s="54"/>
      <c r="AB7" s="54">
        <v>1</v>
      </c>
      <c r="AC7" s="54">
        <f t="shared" ref="AC7:AC43" si="16">AC6+Z7</f>
        <v>2</v>
      </c>
      <c r="AD7" s="54">
        <f t="shared" ref="AD7:AD43" si="17">AD6+AB7</f>
        <v>1</v>
      </c>
      <c r="AE7" s="51">
        <f t="shared" si="4"/>
        <v>71</v>
      </c>
      <c r="AF7" s="53">
        <f t="shared" si="11"/>
        <v>188</v>
      </c>
      <c r="AG7" s="54">
        <f t="shared" si="0"/>
        <v>55</v>
      </c>
      <c r="AH7" s="54"/>
      <c r="AI7" s="54">
        <f t="shared" si="1"/>
        <v>16</v>
      </c>
      <c r="AJ7" s="54">
        <f t="shared" si="12"/>
        <v>120</v>
      </c>
      <c r="AK7" s="54">
        <f t="shared" si="13"/>
        <v>68</v>
      </c>
    </row>
    <row r="8" spans="1:37" s="67" customFormat="1" x14ac:dyDescent="0.2">
      <c r="A8" s="17">
        <v>1969</v>
      </c>
      <c r="B8" s="51">
        <f t="shared" si="2"/>
        <v>10</v>
      </c>
      <c r="C8" s="53">
        <f t="shared" si="5"/>
        <v>68</v>
      </c>
      <c r="D8" s="54">
        <v>8</v>
      </c>
      <c r="E8" s="54"/>
      <c r="F8" s="54">
        <v>2</v>
      </c>
      <c r="G8" s="54">
        <f t="shared" si="6"/>
        <v>38</v>
      </c>
      <c r="H8" s="54">
        <f t="shared" si="7"/>
        <v>30</v>
      </c>
      <c r="I8" s="51">
        <f t="shared" ref="I8:I43" si="18">K8+M8</f>
        <v>6</v>
      </c>
      <c r="J8" s="53">
        <f t="shared" ref="J8:J43" si="19">J7+I8</f>
        <v>6</v>
      </c>
      <c r="K8" s="54">
        <v>6</v>
      </c>
      <c r="L8" s="54"/>
      <c r="M8" s="54"/>
      <c r="N8" s="54">
        <f t="shared" ref="N8:N43" si="20">N7+K8</f>
        <v>6</v>
      </c>
      <c r="O8" s="54"/>
      <c r="P8" s="51">
        <f t="shared" si="3"/>
        <v>69</v>
      </c>
      <c r="Q8" s="53">
        <f t="shared" si="8"/>
        <v>196</v>
      </c>
      <c r="R8" s="54">
        <v>64</v>
      </c>
      <c r="S8" s="54"/>
      <c r="T8" s="54">
        <v>5</v>
      </c>
      <c r="U8" s="54">
        <f t="shared" si="9"/>
        <v>152</v>
      </c>
      <c r="V8" s="53">
        <f t="shared" si="10"/>
        <v>44</v>
      </c>
      <c r="W8" s="68"/>
      <c r="X8" s="51">
        <f t="shared" si="14"/>
        <v>11</v>
      </c>
      <c r="Y8" s="53">
        <f t="shared" si="15"/>
        <v>14</v>
      </c>
      <c r="Z8" s="54">
        <v>11</v>
      </c>
      <c r="AA8" s="54"/>
      <c r="AB8" s="54"/>
      <c r="AC8" s="54">
        <f t="shared" si="16"/>
        <v>13</v>
      </c>
      <c r="AD8" s="54">
        <f t="shared" si="17"/>
        <v>1</v>
      </c>
      <c r="AE8" s="51">
        <f t="shared" si="4"/>
        <v>96</v>
      </c>
      <c r="AF8" s="53">
        <f t="shared" si="11"/>
        <v>284</v>
      </c>
      <c r="AG8" s="54">
        <f t="shared" si="0"/>
        <v>89</v>
      </c>
      <c r="AH8" s="54"/>
      <c r="AI8" s="54">
        <f t="shared" si="1"/>
        <v>7</v>
      </c>
      <c r="AJ8" s="54">
        <f t="shared" si="12"/>
        <v>209</v>
      </c>
      <c r="AK8" s="54">
        <f t="shared" si="13"/>
        <v>75</v>
      </c>
    </row>
    <row r="9" spans="1:37" s="67" customFormat="1" x14ac:dyDescent="0.2">
      <c r="A9" s="17">
        <v>1970</v>
      </c>
      <c r="B9" s="51">
        <f t="shared" si="2"/>
        <v>32</v>
      </c>
      <c r="C9" s="53">
        <f t="shared" si="5"/>
        <v>100</v>
      </c>
      <c r="D9" s="54">
        <v>30</v>
      </c>
      <c r="E9" s="54"/>
      <c r="F9" s="54">
        <v>2</v>
      </c>
      <c r="G9" s="54">
        <f t="shared" si="6"/>
        <v>68</v>
      </c>
      <c r="H9" s="54">
        <f t="shared" si="7"/>
        <v>32</v>
      </c>
      <c r="I9" s="51">
        <f t="shared" si="18"/>
        <v>16</v>
      </c>
      <c r="J9" s="53">
        <f t="shared" si="19"/>
        <v>22</v>
      </c>
      <c r="K9" s="54">
        <v>16</v>
      </c>
      <c r="L9" s="54"/>
      <c r="M9" s="54"/>
      <c r="N9" s="54">
        <f t="shared" si="20"/>
        <v>22</v>
      </c>
      <c r="O9" s="54"/>
      <c r="P9" s="51">
        <f t="shared" si="3"/>
        <v>79</v>
      </c>
      <c r="Q9" s="53">
        <f t="shared" si="8"/>
        <v>275</v>
      </c>
      <c r="R9" s="54">
        <v>77</v>
      </c>
      <c r="S9" s="54"/>
      <c r="T9" s="54">
        <v>2</v>
      </c>
      <c r="U9" s="54">
        <f t="shared" si="9"/>
        <v>229</v>
      </c>
      <c r="V9" s="53">
        <f t="shared" si="10"/>
        <v>46</v>
      </c>
      <c r="W9" s="68"/>
      <c r="X9" s="51">
        <f t="shared" si="14"/>
        <v>19</v>
      </c>
      <c r="Y9" s="53">
        <f t="shared" si="15"/>
        <v>33</v>
      </c>
      <c r="Z9" s="54">
        <v>19</v>
      </c>
      <c r="AA9" s="54"/>
      <c r="AB9" s="54"/>
      <c r="AC9" s="54">
        <f t="shared" si="16"/>
        <v>32</v>
      </c>
      <c r="AD9" s="54">
        <f t="shared" si="17"/>
        <v>1</v>
      </c>
      <c r="AE9" s="51">
        <f t="shared" si="4"/>
        <v>146</v>
      </c>
      <c r="AF9" s="53">
        <f t="shared" si="11"/>
        <v>430</v>
      </c>
      <c r="AG9" s="54">
        <f t="shared" si="0"/>
        <v>142</v>
      </c>
      <c r="AH9" s="54"/>
      <c r="AI9" s="54">
        <f t="shared" si="1"/>
        <v>4</v>
      </c>
      <c r="AJ9" s="54">
        <f t="shared" si="12"/>
        <v>351</v>
      </c>
      <c r="AK9" s="54">
        <f t="shared" si="13"/>
        <v>79</v>
      </c>
    </row>
    <row r="10" spans="1:37" s="67" customFormat="1" x14ac:dyDescent="0.2">
      <c r="A10" s="17">
        <v>1971</v>
      </c>
      <c r="B10" s="51">
        <f t="shared" si="2"/>
        <v>32</v>
      </c>
      <c r="C10" s="53">
        <f t="shared" si="5"/>
        <v>132</v>
      </c>
      <c r="D10" s="54">
        <v>25</v>
      </c>
      <c r="E10" s="54"/>
      <c r="F10" s="54">
        <v>7</v>
      </c>
      <c r="G10" s="54">
        <f t="shared" si="6"/>
        <v>93</v>
      </c>
      <c r="H10" s="54">
        <f t="shared" si="7"/>
        <v>39</v>
      </c>
      <c r="I10" s="51">
        <f t="shared" si="18"/>
        <v>20</v>
      </c>
      <c r="J10" s="53">
        <f t="shared" si="19"/>
        <v>42</v>
      </c>
      <c r="K10" s="54">
        <v>20</v>
      </c>
      <c r="L10" s="54"/>
      <c r="M10" s="54"/>
      <c r="N10" s="54">
        <f t="shared" si="20"/>
        <v>42</v>
      </c>
      <c r="O10" s="54"/>
      <c r="P10" s="51">
        <f t="shared" si="3"/>
        <v>79</v>
      </c>
      <c r="Q10" s="53">
        <f t="shared" si="8"/>
        <v>354</v>
      </c>
      <c r="R10" s="54">
        <v>70</v>
      </c>
      <c r="S10" s="54"/>
      <c r="T10" s="54">
        <v>9</v>
      </c>
      <c r="U10" s="54">
        <f t="shared" si="9"/>
        <v>299</v>
      </c>
      <c r="V10" s="53">
        <f t="shared" si="10"/>
        <v>55</v>
      </c>
      <c r="W10" s="68"/>
      <c r="X10" s="51">
        <f t="shared" si="14"/>
        <v>15</v>
      </c>
      <c r="Y10" s="53">
        <f t="shared" si="15"/>
        <v>48</v>
      </c>
      <c r="Z10" s="54">
        <v>15</v>
      </c>
      <c r="AA10" s="54"/>
      <c r="AB10" s="54"/>
      <c r="AC10" s="54">
        <f t="shared" si="16"/>
        <v>47</v>
      </c>
      <c r="AD10" s="54">
        <f t="shared" si="17"/>
        <v>1</v>
      </c>
      <c r="AE10" s="51">
        <f t="shared" si="4"/>
        <v>146</v>
      </c>
      <c r="AF10" s="53">
        <f t="shared" si="11"/>
        <v>576</v>
      </c>
      <c r="AG10" s="54">
        <f t="shared" si="0"/>
        <v>130</v>
      </c>
      <c r="AH10" s="54"/>
      <c r="AI10" s="54">
        <f t="shared" si="1"/>
        <v>16</v>
      </c>
      <c r="AJ10" s="54">
        <f t="shared" si="12"/>
        <v>481</v>
      </c>
      <c r="AK10" s="54">
        <f t="shared" si="13"/>
        <v>95</v>
      </c>
    </row>
    <row r="11" spans="1:37" s="67" customFormat="1" x14ac:dyDescent="0.2">
      <c r="A11" s="17">
        <v>1972</v>
      </c>
      <c r="B11" s="51">
        <f t="shared" si="2"/>
        <v>47</v>
      </c>
      <c r="C11" s="53">
        <f t="shared" si="5"/>
        <v>179</v>
      </c>
      <c r="D11" s="54">
        <v>33</v>
      </c>
      <c r="E11" s="54"/>
      <c r="F11" s="54">
        <v>14</v>
      </c>
      <c r="G11" s="54">
        <f t="shared" si="6"/>
        <v>126</v>
      </c>
      <c r="H11" s="54">
        <f t="shared" si="7"/>
        <v>53</v>
      </c>
      <c r="I11" s="51">
        <f t="shared" si="18"/>
        <v>17</v>
      </c>
      <c r="J11" s="53">
        <f t="shared" si="19"/>
        <v>59</v>
      </c>
      <c r="K11" s="54">
        <v>17</v>
      </c>
      <c r="L11" s="54"/>
      <c r="M11" s="54"/>
      <c r="N11" s="54">
        <f t="shared" si="20"/>
        <v>59</v>
      </c>
      <c r="O11" s="54"/>
      <c r="P11" s="51">
        <f t="shared" si="3"/>
        <v>97</v>
      </c>
      <c r="Q11" s="53">
        <f t="shared" si="8"/>
        <v>451</v>
      </c>
      <c r="R11" s="54">
        <v>86</v>
      </c>
      <c r="S11" s="54"/>
      <c r="T11" s="54">
        <v>11</v>
      </c>
      <c r="U11" s="54">
        <f t="shared" si="9"/>
        <v>385</v>
      </c>
      <c r="V11" s="53">
        <f t="shared" si="10"/>
        <v>66</v>
      </c>
      <c r="W11" s="68"/>
      <c r="X11" s="51">
        <f t="shared" si="14"/>
        <v>22</v>
      </c>
      <c r="Y11" s="53">
        <f t="shared" si="15"/>
        <v>70</v>
      </c>
      <c r="Z11" s="54">
        <v>21</v>
      </c>
      <c r="AA11" s="54"/>
      <c r="AB11" s="54">
        <v>1</v>
      </c>
      <c r="AC11" s="54">
        <f t="shared" si="16"/>
        <v>68</v>
      </c>
      <c r="AD11" s="54">
        <f t="shared" si="17"/>
        <v>2</v>
      </c>
      <c r="AE11" s="51">
        <f t="shared" si="4"/>
        <v>183</v>
      </c>
      <c r="AF11" s="53">
        <f t="shared" si="11"/>
        <v>759</v>
      </c>
      <c r="AG11" s="54">
        <f t="shared" si="0"/>
        <v>157</v>
      </c>
      <c r="AH11" s="54"/>
      <c r="AI11" s="54">
        <f t="shared" si="1"/>
        <v>26</v>
      </c>
      <c r="AJ11" s="54">
        <f t="shared" si="12"/>
        <v>638</v>
      </c>
      <c r="AK11" s="54">
        <f t="shared" si="13"/>
        <v>121</v>
      </c>
    </row>
    <row r="12" spans="1:37" s="67" customFormat="1" x14ac:dyDescent="0.2">
      <c r="A12" s="17">
        <v>1973</v>
      </c>
      <c r="B12" s="51">
        <f t="shared" si="2"/>
        <v>43</v>
      </c>
      <c r="C12" s="53">
        <f t="shared" si="5"/>
        <v>222</v>
      </c>
      <c r="D12" s="54">
        <v>34</v>
      </c>
      <c r="E12" s="54"/>
      <c r="F12" s="54">
        <v>9</v>
      </c>
      <c r="G12" s="54">
        <f t="shared" si="6"/>
        <v>160</v>
      </c>
      <c r="H12" s="54">
        <f t="shared" si="7"/>
        <v>62</v>
      </c>
      <c r="I12" s="51">
        <f t="shared" si="18"/>
        <v>20</v>
      </c>
      <c r="J12" s="53">
        <f t="shared" si="19"/>
        <v>79</v>
      </c>
      <c r="K12" s="54">
        <v>20</v>
      </c>
      <c r="L12" s="54"/>
      <c r="M12" s="54"/>
      <c r="N12" s="54">
        <f t="shared" si="20"/>
        <v>79</v>
      </c>
      <c r="O12" s="54"/>
      <c r="P12" s="51">
        <f t="shared" si="3"/>
        <v>105</v>
      </c>
      <c r="Q12" s="53">
        <f t="shared" si="8"/>
        <v>556</v>
      </c>
      <c r="R12" s="54">
        <v>84</v>
      </c>
      <c r="S12" s="54"/>
      <c r="T12" s="54">
        <v>21</v>
      </c>
      <c r="U12" s="54">
        <f t="shared" si="9"/>
        <v>469</v>
      </c>
      <c r="V12" s="53">
        <f t="shared" si="10"/>
        <v>87</v>
      </c>
      <c r="W12" s="68"/>
      <c r="X12" s="51">
        <f t="shared" si="14"/>
        <v>24</v>
      </c>
      <c r="Y12" s="53">
        <f t="shared" si="15"/>
        <v>94</v>
      </c>
      <c r="Z12" s="54">
        <v>24</v>
      </c>
      <c r="AA12" s="54"/>
      <c r="AB12" s="54"/>
      <c r="AC12" s="54">
        <f t="shared" si="16"/>
        <v>92</v>
      </c>
      <c r="AD12" s="54">
        <f t="shared" si="17"/>
        <v>2</v>
      </c>
      <c r="AE12" s="51">
        <f t="shared" si="4"/>
        <v>192</v>
      </c>
      <c r="AF12" s="53">
        <f t="shared" si="11"/>
        <v>951</v>
      </c>
      <c r="AG12" s="54">
        <f t="shared" si="0"/>
        <v>162</v>
      </c>
      <c r="AH12" s="54"/>
      <c r="AI12" s="54">
        <f t="shared" si="1"/>
        <v>30</v>
      </c>
      <c r="AJ12" s="54">
        <f t="shared" si="12"/>
        <v>800</v>
      </c>
      <c r="AK12" s="54">
        <f t="shared" si="13"/>
        <v>151</v>
      </c>
    </row>
    <row r="13" spans="1:37" s="67" customFormat="1" x14ac:dyDescent="0.2">
      <c r="A13" s="17">
        <v>1974</v>
      </c>
      <c r="B13" s="51">
        <f t="shared" si="2"/>
        <v>53</v>
      </c>
      <c r="C13" s="53">
        <f t="shared" si="5"/>
        <v>275</v>
      </c>
      <c r="D13" s="54">
        <v>46</v>
      </c>
      <c r="E13" s="54"/>
      <c r="F13" s="54">
        <v>7</v>
      </c>
      <c r="G13" s="54">
        <f t="shared" si="6"/>
        <v>206</v>
      </c>
      <c r="H13" s="54">
        <f t="shared" si="7"/>
        <v>69</v>
      </c>
      <c r="I13" s="51">
        <f t="shared" si="18"/>
        <v>30</v>
      </c>
      <c r="J13" s="53">
        <f t="shared" si="19"/>
        <v>109</v>
      </c>
      <c r="K13" s="54">
        <v>29</v>
      </c>
      <c r="L13" s="54"/>
      <c r="M13" s="54">
        <v>1</v>
      </c>
      <c r="N13" s="54">
        <f t="shared" si="20"/>
        <v>108</v>
      </c>
      <c r="O13" s="54">
        <f t="shared" ref="O13:O43" si="21">O12+M13</f>
        <v>1</v>
      </c>
      <c r="P13" s="51">
        <f t="shared" si="3"/>
        <v>102</v>
      </c>
      <c r="Q13" s="53">
        <f t="shared" si="8"/>
        <v>658</v>
      </c>
      <c r="R13" s="54">
        <v>87</v>
      </c>
      <c r="S13" s="54"/>
      <c r="T13" s="54">
        <v>15</v>
      </c>
      <c r="U13" s="54">
        <f t="shared" si="9"/>
        <v>556</v>
      </c>
      <c r="V13" s="53">
        <f t="shared" si="10"/>
        <v>102</v>
      </c>
      <c r="W13" s="68"/>
      <c r="X13" s="51">
        <f t="shared" si="14"/>
        <v>22</v>
      </c>
      <c r="Y13" s="53">
        <f t="shared" si="15"/>
        <v>116</v>
      </c>
      <c r="Z13" s="54">
        <v>20</v>
      </c>
      <c r="AA13" s="54"/>
      <c r="AB13" s="54">
        <v>2</v>
      </c>
      <c r="AC13" s="54">
        <f t="shared" si="16"/>
        <v>112</v>
      </c>
      <c r="AD13" s="54">
        <f t="shared" si="17"/>
        <v>4</v>
      </c>
      <c r="AE13" s="51">
        <f t="shared" si="4"/>
        <v>207</v>
      </c>
      <c r="AF13" s="53">
        <f t="shared" si="11"/>
        <v>1158</v>
      </c>
      <c r="AG13" s="54">
        <f t="shared" si="0"/>
        <v>182</v>
      </c>
      <c r="AH13" s="54"/>
      <c r="AI13" s="54">
        <f t="shared" si="1"/>
        <v>25</v>
      </c>
      <c r="AJ13" s="54">
        <f t="shared" si="12"/>
        <v>982</v>
      </c>
      <c r="AK13" s="54">
        <f t="shared" si="13"/>
        <v>176</v>
      </c>
    </row>
    <row r="14" spans="1:37" s="67" customFormat="1" x14ac:dyDescent="0.2">
      <c r="A14" s="17">
        <v>1975</v>
      </c>
      <c r="B14" s="51">
        <f t="shared" si="2"/>
        <v>62</v>
      </c>
      <c r="C14" s="53">
        <f t="shared" si="5"/>
        <v>337</v>
      </c>
      <c r="D14" s="54">
        <v>48</v>
      </c>
      <c r="E14" s="54"/>
      <c r="F14" s="54">
        <v>14</v>
      </c>
      <c r="G14" s="54">
        <f t="shared" si="6"/>
        <v>254</v>
      </c>
      <c r="H14" s="54">
        <f t="shared" si="7"/>
        <v>83</v>
      </c>
      <c r="I14" s="51">
        <f t="shared" si="18"/>
        <v>31</v>
      </c>
      <c r="J14" s="53">
        <f t="shared" si="19"/>
        <v>140</v>
      </c>
      <c r="K14" s="54">
        <v>28</v>
      </c>
      <c r="L14" s="54"/>
      <c r="M14" s="54">
        <v>3</v>
      </c>
      <c r="N14" s="54">
        <f t="shared" si="20"/>
        <v>136</v>
      </c>
      <c r="O14" s="54">
        <f t="shared" si="21"/>
        <v>4</v>
      </c>
      <c r="P14" s="51">
        <f t="shared" si="3"/>
        <v>81</v>
      </c>
      <c r="Q14" s="53">
        <f t="shared" si="8"/>
        <v>739</v>
      </c>
      <c r="R14" s="54">
        <v>72</v>
      </c>
      <c r="S14" s="54"/>
      <c r="T14" s="54">
        <v>9</v>
      </c>
      <c r="U14" s="54">
        <f t="shared" si="9"/>
        <v>628</v>
      </c>
      <c r="V14" s="53">
        <f t="shared" si="10"/>
        <v>111</v>
      </c>
      <c r="W14" s="68"/>
      <c r="X14" s="51">
        <f t="shared" si="14"/>
        <v>18</v>
      </c>
      <c r="Y14" s="53">
        <f t="shared" si="15"/>
        <v>134</v>
      </c>
      <c r="Z14" s="54">
        <v>16</v>
      </c>
      <c r="AA14" s="54"/>
      <c r="AB14" s="54">
        <v>2</v>
      </c>
      <c r="AC14" s="54">
        <f t="shared" si="16"/>
        <v>128</v>
      </c>
      <c r="AD14" s="54">
        <f t="shared" si="17"/>
        <v>6</v>
      </c>
      <c r="AE14" s="51">
        <f t="shared" si="4"/>
        <v>192</v>
      </c>
      <c r="AF14" s="53">
        <f t="shared" si="11"/>
        <v>1350</v>
      </c>
      <c r="AG14" s="54">
        <f t="shared" si="0"/>
        <v>164</v>
      </c>
      <c r="AH14" s="54"/>
      <c r="AI14" s="54">
        <f t="shared" si="1"/>
        <v>28</v>
      </c>
      <c r="AJ14" s="54">
        <f t="shared" si="12"/>
        <v>1146</v>
      </c>
      <c r="AK14" s="54">
        <f t="shared" si="13"/>
        <v>204</v>
      </c>
    </row>
    <row r="15" spans="1:37" s="67" customFormat="1" x14ac:dyDescent="0.2">
      <c r="A15" s="17">
        <v>1976</v>
      </c>
      <c r="B15" s="51">
        <f t="shared" si="2"/>
        <v>56</v>
      </c>
      <c r="C15" s="53">
        <f t="shared" si="5"/>
        <v>393</v>
      </c>
      <c r="D15" s="54">
        <v>42</v>
      </c>
      <c r="E15" s="54"/>
      <c r="F15" s="54">
        <v>14</v>
      </c>
      <c r="G15" s="54">
        <f t="shared" si="6"/>
        <v>296</v>
      </c>
      <c r="H15" s="54">
        <f t="shared" si="7"/>
        <v>97</v>
      </c>
      <c r="I15" s="51">
        <f t="shared" si="18"/>
        <v>33</v>
      </c>
      <c r="J15" s="53">
        <f t="shared" si="19"/>
        <v>173</v>
      </c>
      <c r="K15" s="132">
        <v>32</v>
      </c>
      <c r="L15" s="132"/>
      <c r="M15" s="54">
        <v>1</v>
      </c>
      <c r="N15" s="54">
        <f t="shared" si="20"/>
        <v>168</v>
      </c>
      <c r="O15" s="54">
        <f t="shared" si="21"/>
        <v>5</v>
      </c>
      <c r="P15" s="51">
        <f t="shared" si="3"/>
        <v>54</v>
      </c>
      <c r="Q15" s="53">
        <f t="shared" si="8"/>
        <v>793</v>
      </c>
      <c r="R15" s="54">
        <v>43</v>
      </c>
      <c r="S15" s="54"/>
      <c r="T15" s="54">
        <v>11</v>
      </c>
      <c r="U15" s="54">
        <f t="shared" si="9"/>
        <v>671</v>
      </c>
      <c r="V15" s="53">
        <f t="shared" si="10"/>
        <v>122</v>
      </c>
      <c r="W15" s="68"/>
      <c r="X15" s="51">
        <f t="shared" si="14"/>
        <v>32</v>
      </c>
      <c r="Y15" s="53">
        <f t="shared" si="15"/>
        <v>166</v>
      </c>
      <c r="Z15" s="54">
        <v>29</v>
      </c>
      <c r="AA15" s="54"/>
      <c r="AB15" s="54">
        <v>3</v>
      </c>
      <c r="AC15" s="54">
        <f t="shared" si="16"/>
        <v>157</v>
      </c>
      <c r="AD15" s="54">
        <f t="shared" si="17"/>
        <v>9</v>
      </c>
      <c r="AE15" s="51">
        <f t="shared" si="4"/>
        <v>175</v>
      </c>
      <c r="AF15" s="53">
        <f t="shared" si="11"/>
        <v>1525</v>
      </c>
      <c r="AG15" s="54">
        <f t="shared" si="0"/>
        <v>146</v>
      </c>
      <c r="AH15" s="54"/>
      <c r="AI15" s="54">
        <f t="shared" si="1"/>
        <v>29</v>
      </c>
      <c r="AJ15" s="54">
        <f t="shared" si="12"/>
        <v>1292</v>
      </c>
      <c r="AK15" s="54">
        <f t="shared" si="13"/>
        <v>233</v>
      </c>
    </row>
    <row r="16" spans="1:37" s="67" customFormat="1" x14ac:dyDescent="0.2">
      <c r="A16" s="17">
        <v>1977</v>
      </c>
      <c r="B16" s="51">
        <f t="shared" si="2"/>
        <v>55</v>
      </c>
      <c r="C16" s="53">
        <f t="shared" si="5"/>
        <v>448</v>
      </c>
      <c r="D16" s="54">
        <v>46</v>
      </c>
      <c r="E16" s="54"/>
      <c r="F16" s="54">
        <v>9</v>
      </c>
      <c r="G16" s="54">
        <f t="shared" si="6"/>
        <v>342</v>
      </c>
      <c r="H16" s="54">
        <f t="shared" si="7"/>
        <v>106</v>
      </c>
      <c r="I16" s="51">
        <f t="shared" si="18"/>
        <v>26</v>
      </c>
      <c r="J16" s="53">
        <f t="shared" si="19"/>
        <v>199</v>
      </c>
      <c r="K16" s="54">
        <v>25</v>
      </c>
      <c r="L16" s="54"/>
      <c r="M16" s="54">
        <v>1</v>
      </c>
      <c r="N16" s="54">
        <f t="shared" si="20"/>
        <v>193</v>
      </c>
      <c r="O16" s="54">
        <f t="shared" si="21"/>
        <v>6</v>
      </c>
      <c r="P16" s="51">
        <f t="shared" si="3"/>
        <v>87</v>
      </c>
      <c r="Q16" s="53">
        <f t="shared" si="8"/>
        <v>880</v>
      </c>
      <c r="R16" s="54">
        <v>73</v>
      </c>
      <c r="S16" s="54"/>
      <c r="T16" s="54">
        <v>14</v>
      </c>
      <c r="U16" s="54">
        <f t="shared" si="9"/>
        <v>744</v>
      </c>
      <c r="V16" s="53">
        <f t="shared" si="10"/>
        <v>136</v>
      </c>
      <c r="W16" s="68"/>
      <c r="X16" s="51">
        <f t="shared" si="14"/>
        <v>46</v>
      </c>
      <c r="Y16" s="53">
        <f t="shared" si="15"/>
        <v>212</v>
      </c>
      <c r="Z16" s="54">
        <v>43</v>
      </c>
      <c r="AA16" s="54"/>
      <c r="AB16" s="54">
        <v>3</v>
      </c>
      <c r="AC16" s="54">
        <f t="shared" si="16"/>
        <v>200</v>
      </c>
      <c r="AD16" s="54">
        <f t="shared" si="17"/>
        <v>12</v>
      </c>
      <c r="AE16" s="51">
        <f t="shared" si="4"/>
        <v>214</v>
      </c>
      <c r="AF16" s="53">
        <f t="shared" si="11"/>
        <v>1739</v>
      </c>
      <c r="AG16" s="54">
        <f t="shared" si="0"/>
        <v>187</v>
      </c>
      <c r="AH16" s="54"/>
      <c r="AI16" s="54">
        <f t="shared" si="1"/>
        <v>27</v>
      </c>
      <c r="AJ16" s="54">
        <f t="shared" si="12"/>
        <v>1479</v>
      </c>
      <c r="AK16" s="54">
        <f t="shared" si="13"/>
        <v>260</v>
      </c>
    </row>
    <row r="17" spans="1:37" s="67" customFormat="1" x14ac:dyDescent="0.2">
      <c r="A17" s="17">
        <v>1978</v>
      </c>
      <c r="B17" s="51">
        <f t="shared" si="2"/>
        <v>45</v>
      </c>
      <c r="C17" s="53">
        <f t="shared" si="5"/>
        <v>493</v>
      </c>
      <c r="D17" s="54">
        <v>31</v>
      </c>
      <c r="E17" s="54"/>
      <c r="F17" s="54">
        <v>14</v>
      </c>
      <c r="G17" s="54">
        <f t="shared" si="6"/>
        <v>373</v>
      </c>
      <c r="H17" s="54">
        <f t="shared" si="7"/>
        <v>120</v>
      </c>
      <c r="I17" s="51">
        <f t="shared" si="18"/>
        <v>31</v>
      </c>
      <c r="J17" s="53">
        <f t="shared" si="19"/>
        <v>230</v>
      </c>
      <c r="K17" s="54">
        <v>31</v>
      </c>
      <c r="L17" s="54"/>
      <c r="M17" s="54"/>
      <c r="N17" s="54">
        <f t="shared" si="20"/>
        <v>224</v>
      </c>
      <c r="O17" s="54">
        <f t="shared" si="21"/>
        <v>6</v>
      </c>
      <c r="P17" s="51">
        <f t="shared" si="3"/>
        <v>98</v>
      </c>
      <c r="Q17" s="53">
        <f t="shared" si="8"/>
        <v>978</v>
      </c>
      <c r="R17" s="54">
        <v>69</v>
      </c>
      <c r="S17" s="54"/>
      <c r="T17" s="54">
        <v>29</v>
      </c>
      <c r="U17" s="54">
        <f t="shared" si="9"/>
        <v>813</v>
      </c>
      <c r="V17" s="53">
        <f t="shared" si="10"/>
        <v>165</v>
      </c>
      <c r="W17" s="68"/>
      <c r="X17" s="51">
        <f t="shared" si="14"/>
        <v>56</v>
      </c>
      <c r="Y17" s="53">
        <f t="shared" si="15"/>
        <v>268</v>
      </c>
      <c r="Z17" s="54">
        <v>53</v>
      </c>
      <c r="AA17" s="54"/>
      <c r="AB17" s="54">
        <v>3</v>
      </c>
      <c r="AC17" s="54">
        <f t="shared" si="16"/>
        <v>253</v>
      </c>
      <c r="AD17" s="54">
        <f t="shared" si="17"/>
        <v>15</v>
      </c>
      <c r="AE17" s="51">
        <f t="shared" si="4"/>
        <v>230</v>
      </c>
      <c r="AF17" s="53">
        <f t="shared" si="11"/>
        <v>1969</v>
      </c>
      <c r="AG17" s="54">
        <f t="shared" si="0"/>
        <v>184</v>
      </c>
      <c r="AH17" s="54"/>
      <c r="AI17" s="54">
        <f t="shared" si="1"/>
        <v>46</v>
      </c>
      <c r="AJ17" s="54">
        <f t="shared" si="12"/>
        <v>1663</v>
      </c>
      <c r="AK17" s="54">
        <f t="shared" si="13"/>
        <v>306</v>
      </c>
    </row>
    <row r="18" spans="1:37" s="67" customFormat="1" x14ac:dyDescent="0.2">
      <c r="A18" s="17">
        <v>1979</v>
      </c>
      <c r="B18" s="51">
        <f t="shared" si="2"/>
        <v>58</v>
      </c>
      <c r="C18" s="53">
        <f t="shared" si="5"/>
        <v>551</v>
      </c>
      <c r="D18" s="54">
        <v>41</v>
      </c>
      <c r="E18" s="54"/>
      <c r="F18" s="54">
        <v>17</v>
      </c>
      <c r="G18" s="54">
        <f t="shared" si="6"/>
        <v>414</v>
      </c>
      <c r="H18" s="54">
        <f t="shared" si="7"/>
        <v>137</v>
      </c>
      <c r="I18" s="51">
        <f t="shared" si="18"/>
        <v>30</v>
      </c>
      <c r="J18" s="53">
        <f t="shared" si="19"/>
        <v>260</v>
      </c>
      <c r="K18" s="54">
        <v>28</v>
      </c>
      <c r="L18" s="54"/>
      <c r="M18" s="54">
        <v>2</v>
      </c>
      <c r="N18" s="54">
        <f t="shared" si="20"/>
        <v>252</v>
      </c>
      <c r="O18" s="54">
        <f t="shared" si="21"/>
        <v>8</v>
      </c>
      <c r="P18" s="51">
        <f t="shared" si="3"/>
        <v>94</v>
      </c>
      <c r="Q18" s="53">
        <f t="shared" si="8"/>
        <v>1072</v>
      </c>
      <c r="R18" s="54">
        <v>71</v>
      </c>
      <c r="S18" s="54"/>
      <c r="T18" s="54">
        <v>23</v>
      </c>
      <c r="U18" s="54">
        <f t="shared" si="9"/>
        <v>884</v>
      </c>
      <c r="V18" s="53">
        <f t="shared" si="10"/>
        <v>188</v>
      </c>
      <c r="W18" s="68"/>
      <c r="X18" s="51">
        <f t="shared" si="14"/>
        <v>48</v>
      </c>
      <c r="Y18" s="53">
        <f t="shared" si="15"/>
        <v>316</v>
      </c>
      <c r="Z18" s="54">
        <v>37</v>
      </c>
      <c r="AA18" s="54"/>
      <c r="AB18" s="54">
        <v>11</v>
      </c>
      <c r="AC18" s="54">
        <f t="shared" si="16"/>
        <v>290</v>
      </c>
      <c r="AD18" s="54">
        <f t="shared" si="17"/>
        <v>26</v>
      </c>
      <c r="AE18" s="51">
        <f t="shared" si="4"/>
        <v>230</v>
      </c>
      <c r="AF18" s="53">
        <f t="shared" si="11"/>
        <v>2199</v>
      </c>
      <c r="AG18" s="54">
        <f t="shared" si="0"/>
        <v>177</v>
      </c>
      <c r="AH18" s="54"/>
      <c r="AI18" s="54">
        <f t="shared" si="1"/>
        <v>53</v>
      </c>
      <c r="AJ18" s="54">
        <f t="shared" si="12"/>
        <v>1840</v>
      </c>
      <c r="AK18" s="54">
        <f t="shared" si="13"/>
        <v>359</v>
      </c>
    </row>
    <row r="19" spans="1:37" s="67" customFormat="1" x14ac:dyDescent="0.2">
      <c r="A19" s="17">
        <v>1980</v>
      </c>
      <c r="B19" s="51">
        <f t="shared" si="2"/>
        <v>63</v>
      </c>
      <c r="C19" s="53">
        <f t="shared" si="5"/>
        <v>614</v>
      </c>
      <c r="D19" s="54">
        <v>38</v>
      </c>
      <c r="E19" s="54"/>
      <c r="F19" s="54">
        <v>25</v>
      </c>
      <c r="G19" s="54">
        <f t="shared" si="6"/>
        <v>452</v>
      </c>
      <c r="H19" s="54">
        <f t="shared" si="7"/>
        <v>162</v>
      </c>
      <c r="I19" s="51">
        <f t="shared" si="18"/>
        <v>32</v>
      </c>
      <c r="J19" s="53">
        <f t="shared" si="19"/>
        <v>292</v>
      </c>
      <c r="K19" s="54">
        <v>31</v>
      </c>
      <c r="L19" s="54"/>
      <c r="M19" s="54">
        <v>1</v>
      </c>
      <c r="N19" s="54">
        <f t="shared" si="20"/>
        <v>283</v>
      </c>
      <c r="O19" s="54">
        <f t="shared" si="21"/>
        <v>9</v>
      </c>
      <c r="P19" s="51">
        <f t="shared" si="3"/>
        <v>94</v>
      </c>
      <c r="Q19" s="53">
        <f t="shared" si="8"/>
        <v>1166</v>
      </c>
      <c r="R19" s="54">
        <v>66</v>
      </c>
      <c r="S19" s="54"/>
      <c r="T19" s="54">
        <v>28</v>
      </c>
      <c r="U19" s="54">
        <f t="shared" si="9"/>
        <v>950</v>
      </c>
      <c r="V19" s="53">
        <f t="shared" si="10"/>
        <v>216</v>
      </c>
      <c r="W19" s="68"/>
      <c r="X19" s="51">
        <f t="shared" si="14"/>
        <v>52</v>
      </c>
      <c r="Y19" s="53">
        <f t="shared" si="15"/>
        <v>368</v>
      </c>
      <c r="Z19" s="54">
        <v>41</v>
      </c>
      <c r="AA19" s="54"/>
      <c r="AB19" s="54">
        <v>11</v>
      </c>
      <c r="AC19" s="54">
        <f t="shared" si="16"/>
        <v>331</v>
      </c>
      <c r="AD19" s="54">
        <f t="shared" si="17"/>
        <v>37</v>
      </c>
      <c r="AE19" s="51">
        <f t="shared" si="4"/>
        <v>241</v>
      </c>
      <c r="AF19" s="53">
        <f t="shared" si="11"/>
        <v>2440</v>
      </c>
      <c r="AG19" s="54">
        <f t="shared" si="0"/>
        <v>176</v>
      </c>
      <c r="AH19" s="54"/>
      <c r="AI19" s="54">
        <f t="shared" si="1"/>
        <v>65</v>
      </c>
      <c r="AJ19" s="54">
        <f t="shared" si="12"/>
        <v>2016</v>
      </c>
      <c r="AK19" s="54">
        <f t="shared" si="13"/>
        <v>424</v>
      </c>
    </row>
    <row r="20" spans="1:37" s="67" customFormat="1" x14ac:dyDescent="0.2">
      <c r="A20" s="17">
        <v>1981</v>
      </c>
      <c r="B20" s="51">
        <f t="shared" si="2"/>
        <v>55</v>
      </c>
      <c r="C20" s="53">
        <f t="shared" si="5"/>
        <v>669</v>
      </c>
      <c r="D20" s="54">
        <v>39</v>
      </c>
      <c r="E20" s="54"/>
      <c r="F20" s="54">
        <v>16</v>
      </c>
      <c r="G20" s="54">
        <f t="shared" si="6"/>
        <v>491</v>
      </c>
      <c r="H20" s="54">
        <f t="shared" si="7"/>
        <v>178</v>
      </c>
      <c r="I20" s="51">
        <f t="shared" si="18"/>
        <v>41</v>
      </c>
      <c r="J20" s="53">
        <f t="shared" si="19"/>
        <v>333</v>
      </c>
      <c r="K20" s="54">
        <v>39</v>
      </c>
      <c r="L20" s="54"/>
      <c r="M20" s="54">
        <v>2</v>
      </c>
      <c r="N20" s="54">
        <f t="shared" si="20"/>
        <v>322</v>
      </c>
      <c r="O20" s="54">
        <f t="shared" si="21"/>
        <v>11</v>
      </c>
      <c r="P20" s="51">
        <f t="shared" si="3"/>
        <v>103</v>
      </c>
      <c r="Q20" s="53">
        <f t="shared" si="8"/>
        <v>1269</v>
      </c>
      <c r="R20" s="54">
        <v>73</v>
      </c>
      <c r="S20" s="54"/>
      <c r="T20" s="54">
        <v>30</v>
      </c>
      <c r="U20" s="54">
        <f t="shared" si="9"/>
        <v>1023</v>
      </c>
      <c r="V20" s="53">
        <f t="shared" si="10"/>
        <v>246</v>
      </c>
      <c r="W20" s="68"/>
      <c r="X20" s="51">
        <f t="shared" si="14"/>
        <v>46</v>
      </c>
      <c r="Y20" s="53">
        <f t="shared" si="15"/>
        <v>414</v>
      </c>
      <c r="Z20" s="54">
        <v>31</v>
      </c>
      <c r="AA20" s="54"/>
      <c r="AB20" s="54">
        <v>15</v>
      </c>
      <c r="AC20" s="54">
        <f t="shared" si="16"/>
        <v>362</v>
      </c>
      <c r="AD20" s="54">
        <f t="shared" si="17"/>
        <v>52</v>
      </c>
      <c r="AE20" s="51">
        <f t="shared" si="4"/>
        <v>245</v>
      </c>
      <c r="AF20" s="53">
        <f t="shared" si="11"/>
        <v>2685</v>
      </c>
      <c r="AG20" s="54">
        <f t="shared" si="0"/>
        <v>182</v>
      </c>
      <c r="AH20" s="54"/>
      <c r="AI20" s="54">
        <f t="shared" si="1"/>
        <v>63</v>
      </c>
      <c r="AJ20" s="54">
        <f t="shared" si="12"/>
        <v>2198</v>
      </c>
      <c r="AK20" s="54">
        <f t="shared" si="13"/>
        <v>487</v>
      </c>
    </row>
    <row r="21" spans="1:37" s="67" customFormat="1" x14ac:dyDescent="0.2">
      <c r="A21" s="17">
        <v>1982</v>
      </c>
      <c r="B21" s="51">
        <f t="shared" si="2"/>
        <v>54</v>
      </c>
      <c r="C21" s="53">
        <f t="shared" si="5"/>
        <v>723</v>
      </c>
      <c r="D21" s="54">
        <v>40</v>
      </c>
      <c r="E21" s="54"/>
      <c r="F21" s="54">
        <v>14</v>
      </c>
      <c r="G21" s="54">
        <f t="shared" si="6"/>
        <v>531</v>
      </c>
      <c r="H21" s="54">
        <f t="shared" si="7"/>
        <v>192</v>
      </c>
      <c r="I21" s="51">
        <f t="shared" si="18"/>
        <v>42</v>
      </c>
      <c r="J21" s="53">
        <f t="shared" si="19"/>
        <v>375</v>
      </c>
      <c r="K21" s="54">
        <v>39</v>
      </c>
      <c r="L21" s="54"/>
      <c r="M21" s="54">
        <v>3</v>
      </c>
      <c r="N21" s="54">
        <f t="shared" si="20"/>
        <v>361</v>
      </c>
      <c r="O21" s="54">
        <f t="shared" si="21"/>
        <v>14</v>
      </c>
      <c r="P21" s="51">
        <f t="shared" si="3"/>
        <v>96</v>
      </c>
      <c r="Q21" s="53">
        <f t="shared" si="8"/>
        <v>1365</v>
      </c>
      <c r="R21" s="54">
        <v>74</v>
      </c>
      <c r="S21" s="54"/>
      <c r="T21" s="54">
        <v>22</v>
      </c>
      <c r="U21" s="54">
        <f t="shared" si="9"/>
        <v>1097</v>
      </c>
      <c r="V21" s="53">
        <f t="shared" si="10"/>
        <v>268</v>
      </c>
      <c r="W21" s="68"/>
      <c r="X21" s="51">
        <f t="shared" si="14"/>
        <v>41</v>
      </c>
      <c r="Y21" s="53">
        <f t="shared" si="15"/>
        <v>455</v>
      </c>
      <c r="Z21" s="54">
        <v>28</v>
      </c>
      <c r="AA21" s="54"/>
      <c r="AB21" s="54">
        <v>13</v>
      </c>
      <c r="AC21" s="54">
        <f t="shared" si="16"/>
        <v>390</v>
      </c>
      <c r="AD21" s="54">
        <f t="shared" si="17"/>
        <v>65</v>
      </c>
      <c r="AE21" s="51">
        <f t="shared" si="4"/>
        <v>233</v>
      </c>
      <c r="AF21" s="53">
        <f t="shared" si="11"/>
        <v>2918</v>
      </c>
      <c r="AG21" s="54">
        <f t="shared" si="0"/>
        <v>181</v>
      </c>
      <c r="AH21" s="54"/>
      <c r="AI21" s="54">
        <f t="shared" si="1"/>
        <v>52</v>
      </c>
      <c r="AJ21" s="54">
        <f t="shared" si="12"/>
        <v>2379</v>
      </c>
      <c r="AK21" s="54">
        <f t="shared" si="13"/>
        <v>539</v>
      </c>
    </row>
    <row r="22" spans="1:37" s="67" customFormat="1" x14ac:dyDescent="0.2">
      <c r="A22" s="17">
        <v>1983</v>
      </c>
      <c r="B22" s="51">
        <f t="shared" si="2"/>
        <v>72</v>
      </c>
      <c r="C22" s="53">
        <f t="shared" si="5"/>
        <v>795</v>
      </c>
      <c r="D22" s="54">
        <v>56</v>
      </c>
      <c r="E22" s="54"/>
      <c r="F22" s="54">
        <v>16</v>
      </c>
      <c r="G22" s="54">
        <f t="shared" si="6"/>
        <v>587</v>
      </c>
      <c r="H22" s="54">
        <f t="shared" si="7"/>
        <v>208</v>
      </c>
      <c r="I22" s="51">
        <f t="shared" si="18"/>
        <v>43</v>
      </c>
      <c r="J22" s="53">
        <f t="shared" si="19"/>
        <v>418</v>
      </c>
      <c r="K22" s="54">
        <v>39</v>
      </c>
      <c r="L22" s="54"/>
      <c r="M22" s="54">
        <v>4</v>
      </c>
      <c r="N22" s="54">
        <f t="shared" si="20"/>
        <v>400</v>
      </c>
      <c r="O22" s="54">
        <f t="shared" si="21"/>
        <v>18</v>
      </c>
      <c r="P22" s="51">
        <f t="shared" si="3"/>
        <v>117</v>
      </c>
      <c r="Q22" s="53">
        <f t="shared" si="8"/>
        <v>1482</v>
      </c>
      <c r="R22" s="54">
        <v>79</v>
      </c>
      <c r="S22" s="54"/>
      <c r="T22" s="54">
        <v>38</v>
      </c>
      <c r="U22" s="54">
        <f t="shared" si="9"/>
        <v>1176</v>
      </c>
      <c r="V22" s="53">
        <f t="shared" si="10"/>
        <v>306</v>
      </c>
      <c r="W22" s="68"/>
      <c r="X22" s="51">
        <f t="shared" si="14"/>
        <v>45</v>
      </c>
      <c r="Y22" s="53">
        <f t="shared" si="15"/>
        <v>500</v>
      </c>
      <c r="Z22" s="54">
        <v>27</v>
      </c>
      <c r="AA22" s="54"/>
      <c r="AB22" s="54">
        <v>18</v>
      </c>
      <c r="AC22" s="54">
        <f t="shared" si="16"/>
        <v>417</v>
      </c>
      <c r="AD22" s="54">
        <f t="shared" si="17"/>
        <v>83</v>
      </c>
      <c r="AE22" s="51">
        <f t="shared" si="4"/>
        <v>277</v>
      </c>
      <c r="AF22" s="53">
        <f t="shared" si="11"/>
        <v>3195</v>
      </c>
      <c r="AG22" s="54">
        <f t="shared" si="0"/>
        <v>201</v>
      </c>
      <c r="AH22" s="54"/>
      <c r="AI22" s="54">
        <f t="shared" si="1"/>
        <v>76</v>
      </c>
      <c r="AJ22" s="54">
        <f t="shared" si="12"/>
        <v>2580</v>
      </c>
      <c r="AK22" s="54">
        <f t="shared" si="13"/>
        <v>615</v>
      </c>
    </row>
    <row r="23" spans="1:37" s="67" customFormat="1" x14ac:dyDescent="0.2">
      <c r="A23" s="17">
        <v>1984</v>
      </c>
      <c r="B23" s="51">
        <f t="shared" si="2"/>
        <v>88</v>
      </c>
      <c r="C23" s="53">
        <f t="shared" si="5"/>
        <v>883</v>
      </c>
      <c r="D23" s="54">
        <v>68</v>
      </c>
      <c r="E23" s="54"/>
      <c r="F23" s="54">
        <v>20</v>
      </c>
      <c r="G23" s="54">
        <f t="shared" si="6"/>
        <v>655</v>
      </c>
      <c r="H23" s="54">
        <f t="shared" si="7"/>
        <v>228</v>
      </c>
      <c r="I23" s="51">
        <f t="shared" si="18"/>
        <v>61</v>
      </c>
      <c r="J23" s="53">
        <f t="shared" si="19"/>
        <v>479</v>
      </c>
      <c r="K23" s="54">
        <v>55</v>
      </c>
      <c r="L23" s="54"/>
      <c r="M23" s="54">
        <v>6</v>
      </c>
      <c r="N23" s="54">
        <f t="shared" si="20"/>
        <v>455</v>
      </c>
      <c r="O23" s="54">
        <f t="shared" si="21"/>
        <v>24</v>
      </c>
      <c r="P23" s="51">
        <f t="shared" si="3"/>
        <v>121</v>
      </c>
      <c r="Q23" s="53">
        <f t="shared" si="8"/>
        <v>1603</v>
      </c>
      <c r="R23" s="54">
        <v>96</v>
      </c>
      <c r="S23" s="54"/>
      <c r="T23" s="54">
        <v>25</v>
      </c>
      <c r="U23" s="54">
        <f t="shared" si="9"/>
        <v>1272</v>
      </c>
      <c r="V23" s="53">
        <f t="shared" si="10"/>
        <v>331</v>
      </c>
      <c r="W23" s="68"/>
      <c r="X23" s="51">
        <f t="shared" si="14"/>
        <v>71</v>
      </c>
      <c r="Y23" s="53">
        <f t="shared" si="15"/>
        <v>571</v>
      </c>
      <c r="Z23" s="54">
        <v>53</v>
      </c>
      <c r="AA23" s="54"/>
      <c r="AB23" s="54">
        <v>18</v>
      </c>
      <c r="AC23" s="54">
        <f t="shared" si="16"/>
        <v>470</v>
      </c>
      <c r="AD23" s="54">
        <f t="shared" si="17"/>
        <v>101</v>
      </c>
      <c r="AE23" s="51">
        <f t="shared" si="4"/>
        <v>341</v>
      </c>
      <c r="AF23" s="53">
        <f t="shared" si="11"/>
        <v>3536</v>
      </c>
      <c r="AG23" s="54">
        <f t="shared" si="0"/>
        <v>272</v>
      </c>
      <c r="AH23" s="54"/>
      <c r="AI23" s="54">
        <f t="shared" si="1"/>
        <v>69</v>
      </c>
      <c r="AJ23" s="54">
        <f t="shared" si="12"/>
        <v>2852</v>
      </c>
      <c r="AK23" s="54">
        <f t="shared" si="13"/>
        <v>684</v>
      </c>
    </row>
    <row r="24" spans="1:37" s="67" customFormat="1" x14ac:dyDescent="0.2">
      <c r="A24" s="17">
        <v>1985</v>
      </c>
      <c r="B24" s="51">
        <f t="shared" si="2"/>
        <v>93</v>
      </c>
      <c r="C24" s="53">
        <f t="shared" si="5"/>
        <v>976</v>
      </c>
      <c r="D24" s="54">
        <v>73</v>
      </c>
      <c r="E24" s="54"/>
      <c r="F24" s="54">
        <v>20</v>
      </c>
      <c r="G24" s="54">
        <f t="shared" si="6"/>
        <v>728</v>
      </c>
      <c r="H24" s="54">
        <f t="shared" si="7"/>
        <v>248</v>
      </c>
      <c r="I24" s="51">
        <f t="shared" si="18"/>
        <v>58</v>
      </c>
      <c r="J24" s="53">
        <f t="shared" si="19"/>
        <v>537</v>
      </c>
      <c r="K24" s="54">
        <v>54</v>
      </c>
      <c r="L24" s="54"/>
      <c r="M24" s="54">
        <v>4</v>
      </c>
      <c r="N24" s="54">
        <f t="shared" si="20"/>
        <v>509</v>
      </c>
      <c r="O24" s="54">
        <f t="shared" si="21"/>
        <v>28</v>
      </c>
      <c r="P24" s="51">
        <f t="shared" si="3"/>
        <v>130</v>
      </c>
      <c r="Q24" s="53">
        <f t="shared" si="8"/>
        <v>1733</v>
      </c>
      <c r="R24" s="54">
        <v>101</v>
      </c>
      <c r="S24" s="54"/>
      <c r="T24" s="54">
        <v>29</v>
      </c>
      <c r="U24" s="54">
        <f t="shared" si="9"/>
        <v>1373</v>
      </c>
      <c r="V24" s="53">
        <f t="shared" si="10"/>
        <v>360</v>
      </c>
      <c r="W24" s="68"/>
      <c r="X24" s="51">
        <f t="shared" si="14"/>
        <v>48</v>
      </c>
      <c r="Y24" s="53">
        <f t="shared" si="15"/>
        <v>619</v>
      </c>
      <c r="Z24" s="54">
        <v>36</v>
      </c>
      <c r="AA24" s="54"/>
      <c r="AB24" s="54">
        <v>12</v>
      </c>
      <c r="AC24" s="54">
        <f t="shared" si="16"/>
        <v>506</v>
      </c>
      <c r="AD24" s="54">
        <f t="shared" si="17"/>
        <v>113</v>
      </c>
      <c r="AE24" s="51">
        <f t="shared" si="4"/>
        <v>329</v>
      </c>
      <c r="AF24" s="53">
        <f t="shared" si="11"/>
        <v>3865</v>
      </c>
      <c r="AG24" s="54">
        <f t="shared" si="0"/>
        <v>264</v>
      </c>
      <c r="AH24" s="54"/>
      <c r="AI24" s="54">
        <f t="shared" si="1"/>
        <v>65</v>
      </c>
      <c r="AJ24" s="54">
        <f t="shared" si="12"/>
        <v>3116</v>
      </c>
      <c r="AK24" s="54">
        <f t="shared" si="13"/>
        <v>749</v>
      </c>
    </row>
    <row r="25" spans="1:37" s="67" customFormat="1" x14ac:dyDescent="0.2">
      <c r="A25" s="17">
        <v>1986</v>
      </c>
      <c r="B25" s="51">
        <f t="shared" si="2"/>
        <v>82</v>
      </c>
      <c r="C25" s="53">
        <f t="shared" si="5"/>
        <v>1058</v>
      </c>
      <c r="D25" s="54">
        <v>65</v>
      </c>
      <c r="E25" s="54"/>
      <c r="F25" s="54">
        <v>17</v>
      </c>
      <c r="G25" s="54">
        <f t="shared" si="6"/>
        <v>793</v>
      </c>
      <c r="H25" s="54">
        <f t="shared" si="7"/>
        <v>265</v>
      </c>
      <c r="I25" s="51">
        <f t="shared" si="18"/>
        <v>63</v>
      </c>
      <c r="J25" s="53">
        <f t="shared" si="19"/>
        <v>600</v>
      </c>
      <c r="K25" s="54">
        <v>56</v>
      </c>
      <c r="L25" s="54"/>
      <c r="M25" s="54">
        <v>7</v>
      </c>
      <c r="N25" s="54">
        <f t="shared" si="20"/>
        <v>565</v>
      </c>
      <c r="O25" s="54">
        <f t="shared" si="21"/>
        <v>35</v>
      </c>
      <c r="P25" s="51">
        <f t="shared" si="3"/>
        <v>148</v>
      </c>
      <c r="Q25" s="53">
        <f t="shared" si="8"/>
        <v>1881</v>
      </c>
      <c r="R25" s="54">
        <v>125</v>
      </c>
      <c r="S25" s="54"/>
      <c r="T25" s="54">
        <v>23</v>
      </c>
      <c r="U25" s="54">
        <f t="shared" si="9"/>
        <v>1498</v>
      </c>
      <c r="V25" s="53">
        <f t="shared" si="10"/>
        <v>383</v>
      </c>
      <c r="W25" s="68"/>
      <c r="X25" s="51">
        <f t="shared" si="14"/>
        <v>56</v>
      </c>
      <c r="Y25" s="53">
        <f t="shared" si="15"/>
        <v>675</v>
      </c>
      <c r="Z25" s="54">
        <v>41</v>
      </c>
      <c r="AA25" s="54"/>
      <c r="AB25" s="54">
        <v>15</v>
      </c>
      <c r="AC25" s="54">
        <f t="shared" si="16"/>
        <v>547</v>
      </c>
      <c r="AD25" s="54">
        <f t="shared" si="17"/>
        <v>128</v>
      </c>
      <c r="AE25" s="51">
        <f t="shared" si="4"/>
        <v>349</v>
      </c>
      <c r="AF25" s="53">
        <f t="shared" si="11"/>
        <v>4214</v>
      </c>
      <c r="AG25" s="54">
        <f t="shared" si="0"/>
        <v>287</v>
      </c>
      <c r="AH25" s="54"/>
      <c r="AI25" s="54">
        <f t="shared" si="1"/>
        <v>62</v>
      </c>
      <c r="AJ25" s="54">
        <f t="shared" si="12"/>
        <v>3403</v>
      </c>
      <c r="AK25" s="54">
        <f t="shared" si="13"/>
        <v>811</v>
      </c>
    </row>
    <row r="26" spans="1:37" s="67" customFormat="1" x14ac:dyDescent="0.2">
      <c r="A26" s="17">
        <v>1987</v>
      </c>
      <c r="B26" s="51">
        <f t="shared" si="2"/>
        <v>89</v>
      </c>
      <c r="C26" s="53">
        <f t="shared" si="5"/>
        <v>1147</v>
      </c>
      <c r="D26" s="54">
        <v>65</v>
      </c>
      <c r="E26" s="54"/>
      <c r="F26" s="54">
        <v>24</v>
      </c>
      <c r="G26" s="54">
        <f t="shared" si="6"/>
        <v>858</v>
      </c>
      <c r="H26" s="54">
        <f t="shared" si="7"/>
        <v>289</v>
      </c>
      <c r="I26" s="51">
        <f t="shared" si="18"/>
        <v>85</v>
      </c>
      <c r="J26" s="53">
        <f t="shared" si="19"/>
        <v>685</v>
      </c>
      <c r="K26" s="54">
        <v>71</v>
      </c>
      <c r="L26" s="54"/>
      <c r="M26" s="54">
        <v>14</v>
      </c>
      <c r="N26" s="54">
        <f t="shared" si="20"/>
        <v>636</v>
      </c>
      <c r="O26" s="54">
        <f t="shared" si="21"/>
        <v>49</v>
      </c>
      <c r="P26" s="51">
        <f t="shared" si="3"/>
        <v>146</v>
      </c>
      <c r="Q26" s="53">
        <f t="shared" si="8"/>
        <v>2027</v>
      </c>
      <c r="R26" s="54">
        <v>106</v>
      </c>
      <c r="S26" s="54"/>
      <c r="T26" s="54">
        <v>40</v>
      </c>
      <c r="U26" s="54">
        <f t="shared" si="9"/>
        <v>1604</v>
      </c>
      <c r="V26" s="53">
        <f t="shared" si="10"/>
        <v>423</v>
      </c>
      <c r="W26" s="68"/>
      <c r="X26" s="51">
        <f t="shared" si="14"/>
        <v>62</v>
      </c>
      <c r="Y26" s="53">
        <f t="shared" si="15"/>
        <v>737</v>
      </c>
      <c r="Z26" s="54">
        <v>53</v>
      </c>
      <c r="AA26" s="54"/>
      <c r="AB26" s="54">
        <v>9</v>
      </c>
      <c r="AC26" s="54">
        <f t="shared" si="16"/>
        <v>600</v>
      </c>
      <c r="AD26" s="54">
        <f t="shared" si="17"/>
        <v>137</v>
      </c>
      <c r="AE26" s="51">
        <f t="shared" si="4"/>
        <v>382</v>
      </c>
      <c r="AF26" s="53">
        <f t="shared" si="11"/>
        <v>4596</v>
      </c>
      <c r="AG26" s="54">
        <f t="shared" si="0"/>
        <v>295</v>
      </c>
      <c r="AH26" s="54"/>
      <c r="AI26" s="54">
        <f t="shared" si="1"/>
        <v>87</v>
      </c>
      <c r="AJ26" s="54">
        <f t="shared" si="12"/>
        <v>3698</v>
      </c>
      <c r="AK26" s="54">
        <f t="shared" si="13"/>
        <v>898</v>
      </c>
    </row>
    <row r="27" spans="1:37" s="67" customFormat="1" x14ac:dyDescent="0.2">
      <c r="A27" s="17">
        <v>1988</v>
      </c>
      <c r="B27" s="51">
        <f t="shared" si="2"/>
        <v>87</v>
      </c>
      <c r="C27" s="53">
        <f t="shared" si="5"/>
        <v>1234</v>
      </c>
      <c r="D27" s="54">
        <v>64</v>
      </c>
      <c r="E27" s="54"/>
      <c r="F27" s="54">
        <v>23</v>
      </c>
      <c r="G27" s="54">
        <f t="shared" si="6"/>
        <v>922</v>
      </c>
      <c r="H27" s="54">
        <f t="shared" si="7"/>
        <v>312</v>
      </c>
      <c r="I27" s="51">
        <f t="shared" si="18"/>
        <v>79</v>
      </c>
      <c r="J27" s="53">
        <f t="shared" si="19"/>
        <v>764</v>
      </c>
      <c r="K27" s="54">
        <v>69</v>
      </c>
      <c r="L27" s="54"/>
      <c r="M27" s="54">
        <v>10</v>
      </c>
      <c r="N27" s="54">
        <f t="shared" si="20"/>
        <v>705</v>
      </c>
      <c r="O27" s="54">
        <f t="shared" si="21"/>
        <v>59</v>
      </c>
      <c r="P27" s="51">
        <f t="shared" si="3"/>
        <v>132</v>
      </c>
      <c r="Q27" s="53">
        <f t="shared" si="8"/>
        <v>2159</v>
      </c>
      <c r="R27" s="54">
        <v>98</v>
      </c>
      <c r="S27" s="54"/>
      <c r="T27" s="54">
        <v>34</v>
      </c>
      <c r="U27" s="54">
        <f t="shared" si="9"/>
        <v>1702</v>
      </c>
      <c r="V27" s="53">
        <f t="shared" si="10"/>
        <v>457</v>
      </c>
      <c r="W27" s="68"/>
      <c r="X27" s="51">
        <f t="shared" si="14"/>
        <v>57</v>
      </c>
      <c r="Y27" s="53">
        <f t="shared" si="15"/>
        <v>794</v>
      </c>
      <c r="Z27" s="54">
        <v>37</v>
      </c>
      <c r="AA27" s="54"/>
      <c r="AB27" s="54">
        <v>20</v>
      </c>
      <c r="AC27" s="54">
        <f t="shared" si="16"/>
        <v>637</v>
      </c>
      <c r="AD27" s="54">
        <f t="shared" si="17"/>
        <v>157</v>
      </c>
      <c r="AE27" s="51">
        <f t="shared" si="4"/>
        <v>355</v>
      </c>
      <c r="AF27" s="53">
        <f t="shared" si="11"/>
        <v>4951</v>
      </c>
      <c r="AG27" s="54">
        <f t="shared" si="0"/>
        <v>268</v>
      </c>
      <c r="AH27" s="54"/>
      <c r="AI27" s="54">
        <f t="shared" si="1"/>
        <v>87</v>
      </c>
      <c r="AJ27" s="54">
        <f t="shared" si="12"/>
        <v>3966</v>
      </c>
      <c r="AK27" s="54">
        <f t="shared" si="13"/>
        <v>985</v>
      </c>
    </row>
    <row r="28" spans="1:37" s="67" customFormat="1" x14ac:dyDescent="0.2">
      <c r="A28" s="17">
        <v>1989</v>
      </c>
      <c r="B28" s="51">
        <f t="shared" si="2"/>
        <v>79</v>
      </c>
      <c r="C28" s="53">
        <f t="shared" si="5"/>
        <v>1313</v>
      </c>
      <c r="D28" s="54">
        <v>62</v>
      </c>
      <c r="E28" s="54"/>
      <c r="F28" s="54">
        <v>17</v>
      </c>
      <c r="G28" s="54">
        <f t="shared" si="6"/>
        <v>984</v>
      </c>
      <c r="H28" s="54">
        <f t="shared" si="7"/>
        <v>329</v>
      </c>
      <c r="I28" s="51">
        <f t="shared" si="18"/>
        <v>81</v>
      </c>
      <c r="J28" s="53">
        <f t="shared" si="19"/>
        <v>845</v>
      </c>
      <c r="K28" s="54">
        <v>63</v>
      </c>
      <c r="L28" s="54"/>
      <c r="M28" s="54">
        <v>18</v>
      </c>
      <c r="N28" s="54">
        <f t="shared" si="20"/>
        <v>768</v>
      </c>
      <c r="O28" s="54">
        <f t="shared" si="21"/>
        <v>77</v>
      </c>
      <c r="P28" s="51">
        <f t="shared" si="3"/>
        <v>145</v>
      </c>
      <c r="Q28" s="53">
        <f t="shared" si="8"/>
        <v>2304</v>
      </c>
      <c r="R28" s="54">
        <v>111</v>
      </c>
      <c r="S28" s="54"/>
      <c r="T28" s="54">
        <v>34</v>
      </c>
      <c r="U28" s="54">
        <f t="shared" si="9"/>
        <v>1813</v>
      </c>
      <c r="V28" s="53">
        <f t="shared" si="10"/>
        <v>491</v>
      </c>
      <c r="W28" s="68"/>
      <c r="X28" s="51">
        <f t="shared" si="14"/>
        <v>66</v>
      </c>
      <c r="Y28" s="53">
        <f t="shared" si="15"/>
        <v>860</v>
      </c>
      <c r="Z28" s="54">
        <v>54</v>
      </c>
      <c r="AA28" s="54"/>
      <c r="AB28" s="54">
        <v>12</v>
      </c>
      <c r="AC28" s="54">
        <f t="shared" si="16"/>
        <v>691</v>
      </c>
      <c r="AD28" s="54">
        <f t="shared" si="17"/>
        <v>169</v>
      </c>
      <c r="AE28" s="51">
        <f t="shared" si="4"/>
        <v>371</v>
      </c>
      <c r="AF28" s="53">
        <f t="shared" si="11"/>
        <v>5322</v>
      </c>
      <c r="AG28" s="54">
        <f t="shared" si="0"/>
        <v>290</v>
      </c>
      <c r="AH28" s="54"/>
      <c r="AI28" s="54">
        <f t="shared" si="1"/>
        <v>81</v>
      </c>
      <c r="AJ28" s="54">
        <f t="shared" si="12"/>
        <v>4256</v>
      </c>
      <c r="AK28" s="54">
        <f t="shared" si="13"/>
        <v>1066</v>
      </c>
    </row>
    <row r="29" spans="1:37" s="67" customFormat="1" x14ac:dyDescent="0.2">
      <c r="A29" s="17">
        <v>1990</v>
      </c>
      <c r="B29" s="51">
        <f t="shared" si="2"/>
        <v>89</v>
      </c>
      <c r="C29" s="53">
        <f t="shared" si="5"/>
        <v>1402</v>
      </c>
      <c r="D29" s="54">
        <v>65</v>
      </c>
      <c r="E29" s="54"/>
      <c r="F29" s="54">
        <v>24</v>
      </c>
      <c r="G29" s="54">
        <f t="shared" si="6"/>
        <v>1049</v>
      </c>
      <c r="H29" s="54">
        <f t="shared" si="7"/>
        <v>353</v>
      </c>
      <c r="I29" s="51">
        <f t="shared" si="18"/>
        <v>66</v>
      </c>
      <c r="J29" s="53">
        <f t="shared" si="19"/>
        <v>911</v>
      </c>
      <c r="K29" s="54">
        <v>61</v>
      </c>
      <c r="L29" s="54"/>
      <c r="M29" s="54">
        <v>5</v>
      </c>
      <c r="N29" s="54">
        <f t="shared" si="20"/>
        <v>829</v>
      </c>
      <c r="O29" s="54">
        <f t="shared" si="21"/>
        <v>82</v>
      </c>
      <c r="P29" s="51">
        <f t="shared" si="3"/>
        <v>119</v>
      </c>
      <c r="Q29" s="53">
        <f t="shared" si="8"/>
        <v>2423</v>
      </c>
      <c r="R29" s="54">
        <v>84</v>
      </c>
      <c r="S29" s="54"/>
      <c r="T29" s="54">
        <v>35</v>
      </c>
      <c r="U29" s="54">
        <f t="shared" si="9"/>
        <v>1897</v>
      </c>
      <c r="V29" s="53">
        <f t="shared" si="10"/>
        <v>526</v>
      </c>
      <c r="W29" s="68"/>
      <c r="X29" s="51">
        <f t="shared" si="14"/>
        <v>57</v>
      </c>
      <c r="Y29" s="53">
        <f t="shared" si="15"/>
        <v>917</v>
      </c>
      <c r="Z29" s="54">
        <v>43</v>
      </c>
      <c r="AA29" s="54"/>
      <c r="AB29" s="54">
        <v>14</v>
      </c>
      <c r="AC29" s="54">
        <f t="shared" si="16"/>
        <v>734</v>
      </c>
      <c r="AD29" s="54">
        <f t="shared" si="17"/>
        <v>183</v>
      </c>
      <c r="AE29" s="51">
        <f t="shared" si="4"/>
        <v>331</v>
      </c>
      <c r="AF29" s="53">
        <f t="shared" si="11"/>
        <v>5653</v>
      </c>
      <c r="AG29" s="54">
        <f t="shared" si="0"/>
        <v>253</v>
      </c>
      <c r="AH29" s="54"/>
      <c r="AI29" s="54">
        <f t="shared" si="1"/>
        <v>78</v>
      </c>
      <c r="AJ29" s="54">
        <f t="shared" si="12"/>
        <v>4509</v>
      </c>
      <c r="AK29" s="54">
        <f t="shared" si="13"/>
        <v>1144</v>
      </c>
    </row>
    <row r="30" spans="1:37" s="67" customFormat="1" x14ac:dyDescent="0.2">
      <c r="A30" s="17">
        <v>1991</v>
      </c>
      <c r="B30" s="51">
        <f t="shared" si="2"/>
        <v>80</v>
      </c>
      <c r="C30" s="53">
        <f t="shared" si="5"/>
        <v>1482</v>
      </c>
      <c r="D30" s="54">
        <v>59</v>
      </c>
      <c r="E30" s="54"/>
      <c r="F30" s="54">
        <v>21</v>
      </c>
      <c r="G30" s="54">
        <f t="shared" si="6"/>
        <v>1108</v>
      </c>
      <c r="H30" s="54">
        <f t="shared" si="7"/>
        <v>374</v>
      </c>
      <c r="I30" s="51">
        <f t="shared" si="18"/>
        <v>72</v>
      </c>
      <c r="J30" s="53">
        <f t="shared" si="19"/>
        <v>983</v>
      </c>
      <c r="K30" s="54">
        <v>59</v>
      </c>
      <c r="L30" s="54"/>
      <c r="M30" s="54">
        <v>13</v>
      </c>
      <c r="N30" s="54">
        <f t="shared" si="20"/>
        <v>888</v>
      </c>
      <c r="O30" s="54">
        <f t="shared" si="21"/>
        <v>95</v>
      </c>
      <c r="P30" s="51">
        <f t="shared" si="3"/>
        <v>147</v>
      </c>
      <c r="Q30" s="53">
        <f t="shared" si="8"/>
        <v>2570</v>
      </c>
      <c r="R30" s="54">
        <v>116</v>
      </c>
      <c r="S30" s="54"/>
      <c r="T30" s="54">
        <v>31</v>
      </c>
      <c r="U30" s="54">
        <f t="shared" si="9"/>
        <v>2013</v>
      </c>
      <c r="V30" s="53">
        <f t="shared" si="10"/>
        <v>557</v>
      </c>
      <c r="W30" s="68"/>
      <c r="X30" s="51">
        <f t="shared" si="14"/>
        <v>59</v>
      </c>
      <c r="Y30" s="53">
        <f t="shared" si="15"/>
        <v>976</v>
      </c>
      <c r="Z30" s="54">
        <v>43</v>
      </c>
      <c r="AA30" s="54"/>
      <c r="AB30" s="54">
        <v>16</v>
      </c>
      <c r="AC30" s="54">
        <f t="shared" si="16"/>
        <v>777</v>
      </c>
      <c r="AD30" s="54">
        <f t="shared" si="17"/>
        <v>199</v>
      </c>
      <c r="AE30" s="51">
        <f t="shared" si="4"/>
        <v>358</v>
      </c>
      <c r="AF30" s="53">
        <f t="shared" si="11"/>
        <v>6011</v>
      </c>
      <c r="AG30" s="54">
        <f t="shared" si="0"/>
        <v>277</v>
      </c>
      <c r="AH30" s="54"/>
      <c r="AI30" s="54">
        <f t="shared" si="1"/>
        <v>81</v>
      </c>
      <c r="AJ30" s="54">
        <f t="shared" si="12"/>
        <v>4786</v>
      </c>
      <c r="AK30" s="54">
        <f t="shared" si="13"/>
        <v>1225</v>
      </c>
    </row>
    <row r="31" spans="1:37" s="67" customFormat="1" x14ac:dyDescent="0.2">
      <c r="A31" s="17">
        <v>1992</v>
      </c>
      <c r="B31" s="51">
        <f t="shared" si="2"/>
        <v>76</v>
      </c>
      <c r="C31" s="53">
        <f t="shared" si="5"/>
        <v>1558</v>
      </c>
      <c r="D31" s="54">
        <v>48</v>
      </c>
      <c r="E31" s="54"/>
      <c r="F31" s="54">
        <v>28</v>
      </c>
      <c r="G31" s="54">
        <f t="shared" si="6"/>
        <v>1156</v>
      </c>
      <c r="H31" s="54">
        <f t="shared" si="7"/>
        <v>402</v>
      </c>
      <c r="I31" s="51">
        <f t="shared" si="18"/>
        <v>64</v>
      </c>
      <c r="J31" s="53">
        <f t="shared" si="19"/>
        <v>1047</v>
      </c>
      <c r="K31" s="54">
        <v>49</v>
      </c>
      <c r="L31" s="54"/>
      <c r="M31" s="54">
        <v>15</v>
      </c>
      <c r="N31" s="54">
        <f t="shared" si="20"/>
        <v>937</v>
      </c>
      <c r="O31" s="54">
        <f t="shared" si="21"/>
        <v>110</v>
      </c>
      <c r="P31" s="51">
        <f t="shared" si="3"/>
        <v>125</v>
      </c>
      <c r="Q31" s="53">
        <f t="shared" si="8"/>
        <v>2695</v>
      </c>
      <c r="R31" s="54">
        <v>101</v>
      </c>
      <c r="S31" s="54"/>
      <c r="T31" s="54">
        <v>24</v>
      </c>
      <c r="U31" s="54">
        <f t="shared" si="9"/>
        <v>2114</v>
      </c>
      <c r="V31" s="53">
        <f t="shared" si="10"/>
        <v>581</v>
      </c>
      <c r="W31" s="68"/>
      <c r="X31" s="51">
        <f t="shared" si="14"/>
        <v>52</v>
      </c>
      <c r="Y31" s="53">
        <f t="shared" si="15"/>
        <v>1028</v>
      </c>
      <c r="Z31" s="54">
        <v>31</v>
      </c>
      <c r="AA31" s="54"/>
      <c r="AB31" s="54">
        <v>21</v>
      </c>
      <c r="AC31" s="54">
        <f t="shared" si="16"/>
        <v>808</v>
      </c>
      <c r="AD31" s="54">
        <f t="shared" si="17"/>
        <v>220</v>
      </c>
      <c r="AE31" s="51">
        <f t="shared" si="4"/>
        <v>317</v>
      </c>
      <c r="AF31" s="53">
        <f t="shared" si="11"/>
        <v>6328</v>
      </c>
      <c r="AG31" s="54">
        <f t="shared" si="0"/>
        <v>229</v>
      </c>
      <c r="AH31" s="54"/>
      <c r="AI31" s="54">
        <f t="shared" si="1"/>
        <v>88</v>
      </c>
      <c r="AJ31" s="54">
        <f t="shared" si="12"/>
        <v>5015</v>
      </c>
      <c r="AK31" s="54">
        <f t="shared" si="13"/>
        <v>1313</v>
      </c>
    </row>
    <row r="32" spans="1:37" s="67" customFormat="1" x14ac:dyDescent="0.2">
      <c r="A32" s="17">
        <v>1993</v>
      </c>
      <c r="B32" s="51">
        <f t="shared" si="2"/>
        <v>86</v>
      </c>
      <c r="C32" s="53">
        <f t="shared" si="5"/>
        <v>1644</v>
      </c>
      <c r="D32" s="54">
        <v>55</v>
      </c>
      <c r="E32" s="54"/>
      <c r="F32" s="54">
        <v>31</v>
      </c>
      <c r="G32" s="54">
        <f t="shared" si="6"/>
        <v>1211</v>
      </c>
      <c r="H32" s="54">
        <f t="shared" si="7"/>
        <v>433</v>
      </c>
      <c r="I32" s="51">
        <f t="shared" si="18"/>
        <v>75</v>
      </c>
      <c r="J32" s="53">
        <f t="shared" si="19"/>
        <v>1122</v>
      </c>
      <c r="K32" s="54">
        <v>55</v>
      </c>
      <c r="L32" s="54"/>
      <c r="M32" s="54">
        <v>20</v>
      </c>
      <c r="N32" s="54">
        <f t="shared" si="20"/>
        <v>992</v>
      </c>
      <c r="O32" s="54">
        <f t="shared" si="21"/>
        <v>130</v>
      </c>
      <c r="P32" s="51">
        <f t="shared" si="3"/>
        <v>125</v>
      </c>
      <c r="Q32" s="53">
        <f t="shared" si="8"/>
        <v>2820</v>
      </c>
      <c r="R32" s="54">
        <v>90</v>
      </c>
      <c r="S32" s="54"/>
      <c r="T32" s="54">
        <v>35</v>
      </c>
      <c r="U32" s="54">
        <f t="shared" si="9"/>
        <v>2204</v>
      </c>
      <c r="V32" s="53">
        <f t="shared" si="10"/>
        <v>616</v>
      </c>
      <c r="W32" s="68"/>
      <c r="X32" s="51">
        <f t="shared" si="14"/>
        <v>67</v>
      </c>
      <c r="Y32" s="53">
        <f t="shared" si="15"/>
        <v>1095</v>
      </c>
      <c r="Z32" s="54">
        <v>50</v>
      </c>
      <c r="AA32" s="54"/>
      <c r="AB32" s="54">
        <v>17</v>
      </c>
      <c r="AC32" s="54">
        <f t="shared" si="16"/>
        <v>858</v>
      </c>
      <c r="AD32" s="54">
        <f t="shared" si="17"/>
        <v>237</v>
      </c>
      <c r="AE32" s="51">
        <f t="shared" si="4"/>
        <v>353</v>
      </c>
      <c r="AF32" s="53">
        <f t="shared" si="11"/>
        <v>6681</v>
      </c>
      <c r="AG32" s="54">
        <f t="shared" si="0"/>
        <v>250</v>
      </c>
      <c r="AH32" s="54"/>
      <c r="AI32" s="54">
        <f t="shared" si="1"/>
        <v>103</v>
      </c>
      <c r="AJ32" s="54">
        <f t="shared" si="12"/>
        <v>5265</v>
      </c>
      <c r="AK32" s="54">
        <f t="shared" si="13"/>
        <v>1416</v>
      </c>
    </row>
    <row r="33" spans="1:37" s="67" customFormat="1" x14ac:dyDescent="0.2">
      <c r="A33" s="17">
        <v>1994</v>
      </c>
      <c r="B33" s="51">
        <f t="shared" si="2"/>
        <v>76</v>
      </c>
      <c r="C33" s="53">
        <f t="shared" si="5"/>
        <v>1720</v>
      </c>
      <c r="D33" s="54">
        <v>49</v>
      </c>
      <c r="E33" s="54"/>
      <c r="F33" s="54">
        <v>27</v>
      </c>
      <c r="G33" s="54">
        <f t="shared" si="6"/>
        <v>1260</v>
      </c>
      <c r="H33" s="54">
        <f t="shared" si="7"/>
        <v>460</v>
      </c>
      <c r="I33" s="51">
        <f t="shared" si="18"/>
        <v>59</v>
      </c>
      <c r="J33" s="53">
        <f t="shared" si="19"/>
        <v>1181</v>
      </c>
      <c r="K33" s="54">
        <v>45</v>
      </c>
      <c r="L33" s="54"/>
      <c r="M33" s="54">
        <v>14</v>
      </c>
      <c r="N33" s="54">
        <f t="shared" si="20"/>
        <v>1037</v>
      </c>
      <c r="O33" s="54">
        <f t="shared" si="21"/>
        <v>144</v>
      </c>
      <c r="P33" s="51">
        <f t="shared" si="3"/>
        <v>131</v>
      </c>
      <c r="Q33" s="53">
        <f t="shared" si="8"/>
        <v>2951</v>
      </c>
      <c r="R33" s="54">
        <v>96</v>
      </c>
      <c r="S33" s="54"/>
      <c r="T33" s="54">
        <v>35</v>
      </c>
      <c r="U33" s="54">
        <f t="shared" si="9"/>
        <v>2300</v>
      </c>
      <c r="V33" s="53">
        <f t="shared" si="10"/>
        <v>651</v>
      </c>
      <c r="W33" s="68"/>
      <c r="X33" s="51">
        <f t="shared" si="14"/>
        <v>56</v>
      </c>
      <c r="Y33" s="53">
        <f t="shared" si="15"/>
        <v>1151</v>
      </c>
      <c r="Z33" s="54">
        <v>42</v>
      </c>
      <c r="AA33" s="54"/>
      <c r="AB33" s="54">
        <v>14</v>
      </c>
      <c r="AC33" s="54">
        <f t="shared" si="16"/>
        <v>900</v>
      </c>
      <c r="AD33" s="54">
        <f t="shared" si="17"/>
        <v>251</v>
      </c>
      <c r="AE33" s="51">
        <f t="shared" si="4"/>
        <v>322</v>
      </c>
      <c r="AF33" s="53">
        <f t="shared" si="11"/>
        <v>7003</v>
      </c>
      <c r="AG33" s="54">
        <f t="shared" si="0"/>
        <v>232</v>
      </c>
      <c r="AH33" s="54"/>
      <c r="AI33" s="54">
        <f t="shared" si="1"/>
        <v>90</v>
      </c>
      <c r="AJ33" s="54">
        <f t="shared" si="12"/>
        <v>5497</v>
      </c>
      <c r="AK33" s="54">
        <f t="shared" si="13"/>
        <v>1506</v>
      </c>
    </row>
    <row r="34" spans="1:37" s="67" customFormat="1" x14ac:dyDescent="0.2">
      <c r="A34" s="17">
        <v>1995</v>
      </c>
      <c r="B34" s="51">
        <f t="shared" si="2"/>
        <v>62</v>
      </c>
      <c r="C34" s="53">
        <f t="shared" si="5"/>
        <v>1782</v>
      </c>
      <c r="D34" s="54">
        <v>40</v>
      </c>
      <c r="E34" s="54"/>
      <c r="F34" s="54">
        <v>22</v>
      </c>
      <c r="G34" s="54">
        <f t="shared" si="6"/>
        <v>1300</v>
      </c>
      <c r="H34" s="54">
        <f t="shared" si="7"/>
        <v>482</v>
      </c>
      <c r="I34" s="51">
        <f t="shared" si="18"/>
        <v>58</v>
      </c>
      <c r="J34" s="53">
        <f t="shared" si="19"/>
        <v>1239</v>
      </c>
      <c r="K34" s="54">
        <v>37</v>
      </c>
      <c r="L34" s="54"/>
      <c r="M34" s="54">
        <v>21</v>
      </c>
      <c r="N34" s="54">
        <f t="shared" si="20"/>
        <v>1074</v>
      </c>
      <c r="O34" s="54">
        <f t="shared" si="21"/>
        <v>165</v>
      </c>
      <c r="P34" s="51">
        <f t="shared" si="3"/>
        <v>101</v>
      </c>
      <c r="Q34" s="53">
        <f t="shared" si="8"/>
        <v>3052</v>
      </c>
      <c r="R34" s="54">
        <v>82</v>
      </c>
      <c r="S34" s="54"/>
      <c r="T34" s="54">
        <v>19</v>
      </c>
      <c r="U34" s="54">
        <f t="shared" si="9"/>
        <v>2382</v>
      </c>
      <c r="V34" s="53">
        <f t="shared" si="10"/>
        <v>670</v>
      </c>
      <c r="W34" s="68"/>
      <c r="X34" s="51">
        <f t="shared" si="14"/>
        <v>62</v>
      </c>
      <c r="Y34" s="53">
        <f t="shared" si="15"/>
        <v>1213</v>
      </c>
      <c r="Z34" s="54">
        <v>44</v>
      </c>
      <c r="AA34" s="54"/>
      <c r="AB34" s="54">
        <v>18</v>
      </c>
      <c r="AC34" s="54">
        <f t="shared" si="16"/>
        <v>944</v>
      </c>
      <c r="AD34" s="54">
        <f t="shared" si="17"/>
        <v>269</v>
      </c>
      <c r="AE34" s="51">
        <f t="shared" si="4"/>
        <v>283</v>
      </c>
      <c r="AF34" s="53">
        <f t="shared" si="11"/>
        <v>7286</v>
      </c>
      <c r="AG34" s="54">
        <f t="shared" si="0"/>
        <v>203</v>
      </c>
      <c r="AH34" s="54"/>
      <c r="AI34" s="54">
        <f t="shared" si="1"/>
        <v>80</v>
      </c>
      <c r="AJ34" s="54">
        <f t="shared" si="12"/>
        <v>5700</v>
      </c>
      <c r="AK34" s="54">
        <f t="shared" si="13"/>
        <v>1586</v>
      </c>
    </row>
    <row r="35" spans="1:37" s="67" customFormat="1" x14ac:dyDescent="0.2">
      <c r="A35" s="17">
        <v>1996</v>
      </c>
      <c r="B35" s="51">
        <f t="shared" si="2"/>
        <v>76</v>
      </c>
      <c r="C35" s="53">
        <f t="shared" si="5"/>
        <v>1858</v>
      </c>
      <c r="D35" s="54">
        <v>45</v>
      </c>
      <c r="E35" s="54"/>
      <c r="F35" s="54">
        <v>31</v>
      </c>
      <c r="G35" s="54">
        <f t="shared" si="6"/>
        <v>1345</v>
      </c>
      <c r="H35" s="54">
        <f t="shared" si="7"/>
        <v>513</v>
      </c>
      <c r="I35" s="51">
        <f t="shared" si="18"/>
        <v>71</v>
      </c>
      <c r="J35" s="53">
        <f t="shared" si="19"/>
        <v>1310</v>
      </c>
      <c r="K35" s="54">
        <v>46</v>
      </c>
      <c r="L35" s="54"/>
      <c r="M35" s="54">
        <v>25</v>
      </c>
      <c r="N35" s="54">
        <f t="shared" si="20"/>
        <v>1120</v>
      </c>
      <c r="O35" s="54">
        <f t="shared" si="21"/>
        <v>190</v>
      </c>
      <c r="P35" s="51">
        <f t="shared" si="3"/>
        <v>116</v>
      </c>
      <c r="Q35" s="53">
        <f t="shared" si="8"/>
        <v>3168</v>
      </c>
      <c r="R35" s="54">
        <v>90</v>
      </c>
      <c r="S35" s="54"/>
      <c r="T35" s="54">
        <v>26</v>
      </c>
      <c r="U35" s="54">
        <f t="shared" si="9"/>
        <v>2472</v>
      </c>
      <c r="V35" s="53">
        <f t="shared" si="10"/>
        <v>696</v>
      </c>
      <c r="W35" s="68"/>
      <c r="X35" s="51">
        <f t="shared" si="14"/>
        <v>45</v>
      </c>
      <c r="Y35" s="53">
        <f t="shared" si="15"/>
        <v>1258</v>
      </c>
      <c r="Z35" s="54">
        <v>28</v>
      </c>
      <c r="AA35" s="54"/>
      <c r="AB35" s="54">
        <v>17</v>
      </c>
      <c r="AC35" s="54">
        <f t="shared" si="16"/>
        <v>972</v>
      </c>
      <c r="AD35" s="54">
        <f t="shared" si="17"/>
        <v>286</v>
      </c>
      <c r="AE35" s="51">
        <f t="shared" si="4"/>
        <v>308</v>
      </c>
      <c r="AF35" s="53">
        <f t="shared" si="11"/>
        <v>7594</v>
      </c>
      <c r="AG35" s="54">
        <f t="shared" si="0"/>
        <v>209</v>
      </c>
      <c r="AH35" s="54"/>
      <c r="AI35" s="54">
        <f t="shared" si="1"/>
        <v>99</v>
      </c>
      <c r="AJ35" s="54">
        <f t="shared" si="12"/>
        <v>5909</v>
      </c>
      <c r="AK35" s="54">
        <f t="shared" si="13"/>
        <v>1685</v>
      </c>
    </row>
    <row r="36" spans="1:37" s="67" customFormat="1" x14ac:dyDescent="0.2">
      <c r="A36" s="17">
        <v>1997</v>
      </c>
      <c r="B36" s="51">
        <f t="shared" si="2"/>
        <v>89</v>
      </c>
      <c r="C36" s="53">
        <f t="shared" si="5"/>
        <v>1947</v>
      </c>
      <c r="D36" s="54">
        <v>57</v>
      </c>
      <c r="E36" s="54"/>
      <c r="F36" s="54">
        <v>32</v>
      </c>
      <c r="G36" s="54">
        <f t="shared" si="6"/>
        <v>1402</v>
      </c>
      <c r="H36" s="54">
        <f t="shared" si="7"/>
        <v>545</v>
      </c>
      <c r="I36" s="51">
        <f t="shared" si="18"/>
        <v>62</v>
      </c>
      <c r="J36" s="53">
        <f t="shared" si="19"/>
        <v>1372</v>
      </c>
      <c r="K36" s="54">
        <v>45</v>
      </c>
      <c r="L36" s="54"/>
      <c r="M36" s="54">
        <v>17</v>
      </c>
      <c r="N36" s="54">
        <f t="shared" si="20"/>
        <v>1165</v>
      </c>
      <c r="O36" s="54">
        <f t="shared" si="21"/>
        <v>207</v>
      </c>
      <c r="P36" s="51">
        <f t="shared" si="3"/>
        <v>128</v>
      </c>
      <c r="Q36" s="53">
        <f t="shared" si="8"/>
        <v>3296</v>
      </c>
      <c r="R36" s="54">
        <v>76</v>
      </c>
      <c r="S36" s="54"/>
      <c r="T36" s="54">
        <v>52</v>
      </c>
      <c r="U36" s="54">
        <f t="shared" si="9"/>
        <v>2548</v>
      </c>
      <c r="V36" s="53">
        <f t="shared" si="10"/>
        <v>748</v>
      </c>
      <c r="W36" s="68"/>
      <c r="X36" s="51">
        <f t="shared" si="14"/>
        <v>57</v>
      </c>
      <c r="Y36" s="53">
        <f t="shared" si="15"/>
        <v>1315</v>
      </c>
      <c r="Z36" s="54">
        <v>35</v>
      </c>
      <c r="AA36" s="54"/>
      <c r="AB36" s="54">
        <v>22</v>
      </c>
      <c r="AC36" s="54">
        <f t="shared" si="16"/>
        <v>1007</v>
      </c>
      <c r="AD36" s="54">
        <f t="shared" si="17"/>
        <v>308</v>
      </c>
      <c r="AE36" s="51">
        <f t="shared" si="4"/>
        <v>336</v>
      </c>
      <c r="AF36" s="53">
        <f t="shared" si="11"/>
        <v>7930</v>
      </c>
      <c r="AG36" s="54">
        <f t="shared" si="0"/>
        <v>213</v>
      </c>
      <c r="AH36" s="54"/>
      <c r="AI36" s="54">
        <f t="shared" si="1"/>
        <v>123</v>
      </c>
      <c r="AJ36" s="54">
        <f t="shared" si="12"/>
        <v>6122</v>
      </c>
      <c r="AK36" s="54">
        <f t="shared" si="13"/>
        <v>1808</v>
      </c>
    </row>
    <row r="37" spans="1:37" s="67" customFormat="1" x14ac:dyDescent="0.2">
      <c r="A37" s="17">
        <v>1998</v>
      </c>
      <c r="B37" s="51">
        <f t="shared" si="2"/>
        <v>82</v>
      </c>
      <c r="C37" s="53">
        <f t="shared" si="5"/>
        <v>2029</v>
      </c>
      <c r="D37" s="54">
        <v>48</v>
      </c>
      <c r="E37" s="54"/>
      <c r="F37" s="54">
        <v>34</v>
      </c>
      <c r="G37" s="54">
        <f t="shared" si="6"/>
        <v>1450</v>
      </c>
      <c r="H37" s="54">
        <f t="shared" si="7"/>
        <v>579</v>
      </c>
      <c r="I37" s="51">
        <f t="shared" si="18"/>
        <v>76</v>
      </c>
      <c r="J37" s="53">
        <f t="shared" si="19"/>
        <v>1448</v>
      </c>
      <c r="K37" s="54">
        <v>47</v>
      </c>
      <c r="L37" s="54"/>
      <c r="M37" s="54">
        <v>29</v>
      </c>
      <c r="N37" s="54">
        <f t="shared" si="20"/>
        <v>1212</v>
      </c>
      <c r="O37" s="54">
        <f t="shared" si="21"/>
        <v>236</v>
      </c>
      <c r="P37" s="51">
        <f t="shared" si="3"/>
        <v>146</v>
      </c>
      <c r="Q37" s="53">
        <f t="shared" si="8"/>
        <v>3442</v>
      </c>
      <c r="R37" s="54">
        <v>112</v>
      </c>
      <c r="S37" s="54"/>
      <c r="T37" s="54">
        <v>34</v>
      </c>
      <c r="U37" s="54">
        <f t="shared" si="9"/>
        <v>2660</v>
      </c>
      <c r="V37" s="53">
        <f t="shared" si="10"/>
        <v>782</v>
      </c>
      <c r="W37" s="68"/>
      <c r="X37" s="51">
        <f t="shared" si="14"/>
        <v>53</v>
      </c>
      <c r="Y37" s="53">
        <f t="shared" si="15"/>
        <v>1368</v>
      </c>
      <c r="Z37" s="54">
        <v>30</v>
      </c>
      <c r="AA37" s="54"/>
      <c r="AB37" s="54">
        <v>23</v>
      </c>
      <c r="AC37" s="54">
        <f t="shared" si="16"/>
        <v>1037</v>
      </c>
      <c r="AD37" s="54">
        <f t="shared" si="17"/>
        <v>331</v>
      </c>
      <c r="AE37" s="51">
        <f t="shared" si="4"/>
        <v>357</v>
      </c>
      <c r="AF37" s="53">
        <f t="shared" si="11"/>
        <v>8287</v>
      </c>
      <c r="AG37" s="54">
        <f t="shared" si="0"/>
        <v>237</v>
      </c>
      <c r="AH37" s="54"/>
      <c r="AI37" s="54">
        <f t="shared" si="1"/>
        <v>120</v>
      </c>
      <c r="AJ37" s="54">
        <f t="shared" si="12"/>
        <v>6359</v>
      </c>
      <c r="AK37" s="54">
        <f t="shared" si="13"/>
        <v>1928</v>
      </c>
    </row>
    <row r="38" spans="1:37" s="67" customFormat="1" x14ac:dyDescent="0.2">
      <c r="A38" s="18">
        <v>1999</v>
      </c>
      <c r="B38" s="55">
        <f t="shared" si="2"/>
        <v>59</v>
      </c>
      <c r="C38" s="57">
        <f t="shared" si="5"/>
        <v>2088</v>
      </c>
      <c r="D38" s="58">
        <v>36</v>
      </c>
      <c r="E38" s="58"/>
      <c r="F38" s="58">
        <v>23</v>
      </c>
      <c r="G38" s="58">
        <f t="shared" si="6"/>
        <v>1486</v>
      </c>
      <c r="H38" s="58">
        <f t="shared" si="7"/>
        <v>602</v>
      </c>
      <c r="I38" s="55">
        <f t="shared" si="18"/>
        <v>51</v>
      </c>
      <c r="J38" s="57">
        <f t="shared" si="19"/>
        <v>1499</v>
      </c>
      <c r="K38" s="58">
        <v>31</v>
      </c>
      <c r="L38" s="58"/>
      <c r="M38" s="58">
        <v>20</v>
      </c>
      <c r="N38" s="58">
        <f t="shared" si="20"/>
        <v>1243</v>
      </c>
      <c r="O38" s="58">
        <f t="shared" si="21"/>
        <v>256</v>
      </c>
      <c r="P38" s="55">
        <f t="shared" si="3"/>
        <v>128</v>
      </c>
      <c r="Q38" s="57">
        <f t="shared" si="8"/>
        <v>3570</v>
      </c>
      <c r="R38" s="58">
        <v>82</v>
      </c>
      <c r="S38" s="58"/>
      <c r="T38" s="58">
        <v>46</v>
      </c>
      <c r="U38" s="58">
        <f t="shared" si="9"/>
        <v>2742</v>
      </c>
      <c r="V38" s="57">
        <f t="shared" si="10"/>
        <v>828</v>
      </c>
      <c r="W38" s="69"/>
      <c r="X38" s="55">
        <f t="shared" si="14"/>
        <v>63</v>
      </c>
      <c r="Y38" s="57">
        <f t="shared" si="15"/>
        <v>1431</v>
      </c>
      <c r="Z38" s="58">
        <v>47</v>
      </c>
      <c r="AA38" s="58"/>
      <c r="AB38" s="58">
        <v>16</v>
      </c>
      <c r="AC38" s="58">
        <f t="shared" si="16"/>
        <v>1084</v>
      </c>
      <c r="AD38" s="58">
        <f t="shared" si="17"/>
        <v>347</v>
      </c>
      <c r="AE38" s="55">
        <f t="shared" si="4"/>
        <v>301</v>
      </c>
      <c r="AF38" s="57">
        <f t="shared" si="11"/>
        <v>8588</v>
      </c>
      <c r="AG38" s="58">
        <f t="shared" si="0"/>
        <v>196</v>
      </c>
      <c r="AH38" s="58"/>
      <c r="AI38" s="58">
        <f t="shared" si="1"/>
        <v>105</v>
      </c>
      <c r="AJ38" s="58">
        <f t="shared" si="12"/>
        <v>6555</v>
      </c>
      <c r="AK38" s="58">
        <f t="shared" si="13"/>
        <v>2033</v>
      </c>
    </row>
    <row r="39" spans="1:37" s="70" customFormat="1" ht="18.75" customHeight="1" x14ac:dyDescent="0.2">
      <c r="A39" s="17">
        <v>2000</v>
      </c>
      <c r="B39" s="51">
        <f t="shared" si="2"/>
        <v>66</v>
      </c>
      <c r="C39" s="53">
        <f t="shared" si="5"/>
        <v>2154</v>
      </c>
      <c r="D39" s="54">
        <v>42</v>
      </c>
      <c r="E39" s="54"/>
      <c r="F39" s="54">
        <v>24</v>
      </c>
      <c r="G39" s="54">
        <f t="shared" si="6"/>
        <v>1528</v>
      </c>
      <c r="H39" s="54">
        <f t="shared" si="7"/>
        <v>626</v>
      </c>
      <c r="I39" s="51">
        <f t="shared" si="18"/>
        <v>66</v>
      </c>
      <c r="J39" s="53">
        <f t="shared" si="19"/>
        <v>1565</v>
      </c>
      <c r="K39" s="54">
        <v>49</v>
      </c>
      <c r="L39" s="54"/>
      <c r="M39" s="54">
        <v>17</v>
      </c>
      <c r="N39" s="54">
        <f t="shared" si="20"/>
        <v>1292</v>
      </c>
      <c r="O39" s="54">
        <f t="shared" si="21"/>
        <v>273</v>
      </c>
      <c r="P39" s="51">
        <f t="shared" si="3"/>
        <v>106</v>
      </c>
      <c r="Q39" s="53">
        <f t="shared" si="8"/>
        <v>3676</v>
      </c>
      <c r="R39" s="54">
        <v>69</v>
      </c>
      <c r="S39" s="54"/>
      <c r="T39" s="54">
        <v>37</v>
      </c>
      <c r="U39" s="54">
        <f t="shared" si="9"/>
        <v>2811</v>
      </c>
      <c r="V39" s="53">
        <f t="shared" si="10"/>
        <v>865</v>
      </c>
      <c r="W39" s="68"/>
      <c r="X39" s="51">
        <f t="shared" si="14"/>
        <v>45</v>
      </c>
      <c r="Y39" s="53">
        <f t="shared" si="15"/>
        <v>1476</v>
      </c>
      <c r="Z39" s="54">
        <v>33</v>
      </c>
      <c r="AA39" s="54"/>
      <c r="AB39" s="54">
        <v>12</v>
      </c>
      <c r="AC39" s="54">
        <f t="shared" si="16"/>
        <v>1117</v>
      </c>
      <c r="AD39" s="54">
        <f t="shared" si="17"/>
        <v>359</v>
      </c>
      <c r="AE39" s="51">
        <f t="shared" si="4"/>
        <v>283</v>
      </c>
      <c r="AF39" s="53">
        <f t="shared" si="11"/>
        <v>8871</v>
      </c>
      <c r="AG39" s="54">
        <f t="shared" si="0"/>
        <v>193</v>
      </c>
      <c r="AH39" s="54"/>
      <c r="AI39" s="54">
        <f t="shared" si="1"/>
        <v>90</v>
      </c>
      <c r="AJ39" s="54">
        <f t="shared" si="12"/>
        <v>6748</v>
      </c>
      <c r="AK39" s="54">
        <f t="shared" si="13"/>
        <v>2123</v>
      </c>
    </row>
    <row r="40" spans="1:37" s="67" customFormat="1" x14ac:dyDescent="0.2">
      <c r="A40" s="17">
        <v>2001</v>
      </c>
      <c r="B40" s="51">
        <f t="shared" si="2"/>
        <v>71</v>
      </c>
      <c r="C40" s="53">
        <f t="shared" si="5"/>
        <v>2225</v>
      </c>
      <c r="D40" s="54">
        <v>39</v>
      </c>
      <c r="E40" s="54"/>
      <c r="F40" s="54">
        <v>32</v>
      </c>
      <c r="G40" s="54">
        <f t="shared" si="6"/>
        <v>1567</v>
      </c>
      <c r="H40" s="54">
        <f t="shared" si="7"/>
        <v>658</v>
      </c>
      <c r="I40" s="51">
        <f t="shared" si="18"/>
        <v>71</v>
      </c>
      <c r="J40" s="53">
        <f t="shared" si="19"/>
        <v>1636</v>
      </c>
      <c r="K40" s="54">
        <v>52</v>
      </c>
      <c r="L40" s="54"/>
      <c r="M40" s="54">
        <v>19</v>
      </c>
      <c r="N40" s="54">
        <f t="shared" si="20"/>
        <v>1344</v>
      </c>
      <c r="O40" s="54">
        <f t="shared" si="21"/>
        <v>292</v>
      </c>
      <c r="P40" s="51">
        <f t="shared" si="3"/>
        <v>108</v>
      </c>
      <c r="Q40" s="53">
        <f t="shared" si="8"/>
        <v>3784</v>
      </c>
      <c r="R40" s="54">
        <v>66</v>
      </c>
      <c r="S40" s="54"/>
      <c r="T40" s="54">
        <v>42</v>
      </c>
      <c r="U40" s="54">
        <f t="shared" si="9"/>
        <v>2877</v>
      </c>
      <c r="V40" s="53">
        <f t="shared" si="10"/>
        <v>907</v>
      </c>
      <c r="W40" s="68"/>
      <c r="X40" s="51">
        <f t="shared" si="14"/>
        <v>55</v>
      </c>
      <c r="Y40" s="53">
        <f t="shared" si="15"/>
        <v>1531</v>
      </c>
      <c r="Z40" s="54">
        <v>30</v>
      </c>
      <c r="AA40" s="54"/>
      <c r="AB40" s="54">
        <v>25</v>
      </c>
      <c r="AC40" s="54">
        <f t="shared" si="16"/>
        <v>1147</v>
      </c>
      <c r="AD40" s="54">
        <f t="shared" si="17"/>
        <v>384</v>
      </c>
      <c r="AE40" s="51">
        <f t="shared" si="4"/>
        <v>305</v>
      </c>
      <c r="AF40" s="53">
        <f t="shared" si="11"/>
        <v>9176</v>
      </c>
      <c r="AG40" s="54">
        <f t="shared" si="0"/>
        <v>187</v>
      </c>
      <c r="AH40" s="54"/>
      <c r="AI40" s="54">
        <f t="shared" si="1"/>
        <v>118</v>
      </c>
      <c r="AJ40" s="54">
        <f t="shared" si="12"/>
        <v>6935</v>
      </c>
      <c r="AK40" s="54">
        <f t="shared" si="13"/>
        <v>2241</v>
      </c>
    </row>
    <row r="41" spans="1:37" s="67" customFormat="1" x14ac:dyDescent="0.2">
      <c r="A41" s="17">
        <v>2002</v>
      </c>
      <c r="B41" s="51">
        <f t="shared" si="2"/>
        <v>79</v>
      </c>
      <c r="C41" s="53">
        <f t="shared" si="5"/>
        <v>2304</v>
      </c>
      <c r="D41" s="54">
        <v>43</v>
      </c>
      <c r="E41" s="54"/>
      <c r="F41" s="54">
        <v>36</v>
      </c>
      <c r="G41" s="54">
        <f t="shared" si="6"/>
        <v>1610</v>
      </c>
      <c r="H41" s="54">
        <f t="shared" si="7"/>
        <v>694</v>
      </c>
      <c r="I41" s="51">
        <f t="shared" si="18"/>
        <v>59</v>
      </c>
      <c r="J41" s="53">
        <f t="shared" si="19"/>
        <v>1695</v>
      </c>
      <c r="K41" s="54">
        <v>38</v>
      </c>
      <c r="L41" s="54"/>
      <c r="M41" s="54">
        <v>21</v>
      </c>
      <c r="N41" s="54">
        <f t="shared" si="20"/>
        <v>1382</v>
      </c>
      <c r="O41" s="54">
        <f t="shared" si="21"/>
        <v>313</v>
      </c>
      <c r="P41" s="51">
        <f t="shared" si="3"/>
        <v>111</v>
      </c>
      <c r="Q41" s="53">
        <f t="shared" si="8"/>
        <v>3895</v>
      </c>
      <c r="R41" s="54">
        <v>75</v>
      </c>
      <c r="S41" s="54"/>
      <c r="T41" s="54">
        <v>36</v>
      </c>
      <c r="U41" s="54">
        <f t="shared" si="9"/>
        <v>2952</v>
      </c>
      <c r="V41" s="53">
        <f t="shared" si="10"/>
        <v>943</v>
      </c>
      <c r="W41" s="68"/>
      <c r="X41" s="51">
        <f t="shared" si="14"/>
        <v>59</v>
      </c>
      <c r="Y41" s="53">
        <f t="shared" si="15"/>
        <v>1590</v>
      </c>
      <c r="Z41" s="54">
        <v>38</v>
      </c>
      <c r="AA41" s="54"/>
      <c r="AB41" s="54">
        <v>21</v>
      </c>
      <c r="AC41" s="54">
        <f t="shared" si="16"/>
        <v>1185</v>
      </c>
      <c r="AD41" s="54">
        <f t="shared" si="17"/>
        <v>405</v>
      </c>
      <c r="AE41" s="51">
        <f t="shared" si="4"/>
        <v>308</v>
      </c>
      <c r="AF41" s="53">
        <f t="shared" si="11"/>
        <v>9484</v>
      </c>
      <c r="AG41" s="54">
        <f t="shared" si="0"/>
        <v>194</v>
      </c>
      <c r="AH41" s="54"/>
      <c r="AI41" s="54">
        <f t="shared" si="1"/>
        <v>114</v>
      </c>
      <c r="AJ41" s="54">
        <f t="shared" si="12"/>
        <v>7129</v>
      </c>
      <c r="AK41" s="54">
        <f t="shared" si="13"/>
        <v>2355</v>
      </c>
    </row>
    <row r="42" spans="1:37" s="67" customFormat="1" x14ac:dyDescent="0.2">
      <c r="A42" s="17">
        <v>2003</v>
      </c>
      <c r="B42" s="51">
        <f t="shared" si="2"/>
        <v>80</v>
      </c>
      <c r="C42" s="53">
        <f t="shared" si="5"/>
        <v>2384</v>
      </c>
      <c r="D42" s="54">
        <v>43</v>
      </c>
      <c r="E42" s="54"/>
      <c r="F42" s="54">
        <v>37</v>
      </c>
      <c r="G42" s="54">
        <f t="shared" si="6"/>
        <v>1653</v>
      </c>
      <c r="H42" s="54">
        <f t="shared" si="7"/>
        <v>731</v>
      </c>
      <c r="I42" s="51">
        <f t="shared" si="18"/>
        <v>72</v>
      </c>
      <c r="J42" s="53">
        <f t="shared" si="19"/>
        <v>1767</v>
      </c>
      <c r="K42" s="54">
        <v>49</v>
      </c>
      <c r="L42" s="54"/>
      <c r="M42" s="54">
        <v>23</v>
      </c>
      <c r="N42" s="54">
        <f t="shared" si="20"/>
        <v>1431</v>
      </c>
      <c r="O42" s="54">
        <f t="shared" si="21"/>
        <v>336</v>
      </c>
      <c r="P42" s="51">
        <f t="shared" si="3"/>
        <v>129</v>
      </c>
      <c r="Q42" s="53">
        <f t="shared" si="8"/>
        <v>4024</v>
      </c>
      <c r="R42" s="54">
        <v>86</v>
      </c>
      <c r="S42" s="54"/>
      <c r="T42" s="54">
        <v>43</v>
      </c>
      <c r="U42" s="54">
        <f t="shared" si="9"/>
        <v>3038</v>
      </c>
      <c r="V42" s="53">
        <f t="shared" si="10"/>
        <v>986</v>
      </c>
      <c r="W42" s="68"/>
      <c r="X42" s="51">
        <f t="shared" si="14"/>
        <v>64</v>
      </c>
      <c r="Y42" s="53">
        <f t="shared" si="15"/>
        <v>1654</v>
      </c>
      <c r="Z42" s="54">
        <v>37</v>
      </c>
      <c r="AA42" s="54"/>
      <c r="AB42" s="54">
        <v>27</v>
      </c>
      <c r="AC42" s="54">
        <f t="shared" si="16"/>
        <v>1222</v>
      </c>
      <c r="AD42" s="54">
        <f t="shared" si="17"/>
        <v>432</v>
      </c>
      <c r="AE42" s="51">
        <f t="shared" si="4"/>
        <v>345</v>
      </c>
      <c r="AF42" s="53">
        <f t="shared" si="11"/>
        <v>9829</v>
      </c>
      <c r="AG42" s="54">
        <f t="shared" si="0"/>
        <v>215</v>
      </c>
      <c r="AH42" s="54"/>
      <c r="AI42" s="54">
        <f t="shared" si="1"/>
        <v>130</v>
      </c>
      <c r="AJ42" s="54">
        <f t="shared" si="12"/>
        <v>7344</v>
      </c>
      <c r="AK42" s="54">
        <f t="shared" si="13"/>
        <v>2485</v>
      </c>
    </row>
    <row r="43" spans="1:37" s="67" customFormat="1" x14ac:dyDescent="0.2">
      <c r="A43" s="17">
        <v>2004</v>
      </c>
      <c r="B43" s="51">
        <f t="shared" si="2"/>
        <v>82</v>
      </c>
      <c r="C43" s="53">
        <f t="shared" si="5"/>
        <v>2466</v>
      </c>
      <c r="D43" s="128">
        <v>51</v>
      </c>
      <c r="E43" s="128"/>
      <c r="F43" s="128">
        <v>31</v>
      </c>
      <c r="G43" s="128">
        <f t="shared" si="6"/>
        <v>1704</v>
      </c>
      <c r="H43" s="128">
        <f t="shared" si="7"/>
        <v>762</v>
      </c>
      <c r="I43" s="51">
        <f t="shared" si="18"/>
        <v>92</v>
      </c>
      <c r="J43" s="53">
        <f t="shared" si="19"/>
        <v>1859</v>
      </c>
      <c r="K43" s="128">
        <v>60</v>
      </c>
      <c r="L43" s="128"/>
      <c r="M43" s="128">
        <v>32</v>
      </c>
      <c r="N43" s="54">
        <f t="shared" si="20"/>
        <v>1491</v>
      </c>
      <c r="O43" s="54">
        <f t="shared" si="21"/>
        <v>368</v>
      </c>
      <c r="P43" s="51">
        <f t="shared" si="3"/>
        <v>148</v>
      </c>
      <c r="Q43" s="53">
        <f t="shared" si="8"/>
        <v>4172</v>
      </c>
      <c r="R43" s="54">
        <v>92</v>
      </c>
      <c r="S43" s="54"/>
      <c r="T43" s="54">
        <v>56</v>
      </c>
      <c r="U43" s="54">
        <f t="shared" si="9"/>
        <v>3130</v>
      </c>
      <c r="V43" s="53">
        <f t="shared" si="10"/>
        <v>1042</v>
      </c>
      <c r="W43" s="68"/>
      <c r="X43" s="51">
        <f t="shared" si="14"/>
        <v>50</v>
      </c>
      <c r="Y43" s="53">
        <f t="shared" si="15"/>
        <v>1704</v>
      </c>
      <c r="Z43" s="54">
        <v>27</v>
      </c>
      <c r="AA43" s="54"/>
      <c r="AB43" s="54">
        <v>23</v>
      </c>
      <c r="AC43" s="54">
        <f t="shared" si="16"/>
        <v>1249</v>
      </c>
      <c r="AD43" s="54">
        <f t="shared" si="17"/>
        <v>455</v>
      </c>
      <c r="AE43" s="51">
        <f t="shared" si="4"/>
        <v>372</v>
      </c>
      <c r="AF43" s="126">
        <f t="shared" si="11"/>
        <v>10201</v>
      </c>
      <c r="AG43" s="54">
        <f t="shared" si="0"/>
        <v>230</v>
      </c>
      <c r="AH43" s="54"/>
      <c r="AI43" s="54">
        <f t="shared" si="1"/>
        <v>142</v>
      </c>
      <c r="AJ43" s="54">
        <f t="shared" si="12"/>
        <v>7574</v>
      </c>
      <c r="AK43" s="54">
        <f t="shared" si="13"/>
        <v>2627</v>
      </c>
    </row>
    <row r="44" spans="1:37" s="67" customFormat="1" x14ac:dyDescent="0.2">
      <c r="A44" s="17">
        <v>2005</v>
      </c>
      <c r="B44" s="51">
        <f t="shared" si="2"/>
        <v>70</v>
      </c>
      <c r="C44" s="53">
        <f t="shared" si="5"/>
        <v>2536</v>
      </c>
      <c r="D44" s="54">
        <f>7+5+7+14</f>
        <v>33</v>
      </c>
      <c r="E44" s="54"/>
      <c r="F44" s="54">
        <f>13+8+8+8</f>
        <v>37</v>
      </c>
      <c r="G44" s="128">
        <f t="shared" ref="G44:G55" si="22">G43+D44</f>
        <v>1737</v>
      </c>
      <c r="H44" s="128">
        <f t="shared" ref="H44:H56" si="23">H43+F44</f>
        <v>799</v>
      </c>
      <c r="I44" s="51">
        <f t="shared" ref="I44:I49" si="24">K44+M44</f>
        <v>97</v>
      </c>
      <c r="J44" s="53">
        <f t="shared" ref="J44:J49" si="25">J43+I44</f>
        <v>1956</v>
      </c>
      <c r="K44" s="62">
        <f>15+16+7+16</f>
        <v>54</v>
      </c>
      <c r="L44" s="62"/>
      <c r="M44" s="62">
        <f>12+12+4+15</f>
        <v>43</v>
      </c>
      <c r="N44" s="54">
        <f t="shared" ref="N44:N55" si="26">N43+K44</f>
        <v>1545</v>
      </c>
      <c r="O44" s="54">
        <f t="shared" ref="O44:O56" si="27">O43+M44</f>
        <v>411</v>
      </c>
      <c r="P44" s="51">
        <f t="shared" si="3"/>
        <v>167</v>
      </c>
      <c r="Q44" s="53">
        <f t="shared" ref="Q44:Q49" si="28">Q43+P44</f>
        <v>4339</v>
      </c>
      <c r="R44" s="62">
        <f>23+28+15+33</f>
        <v>99</v>
      </c>
      <c r="S44" s="62"/>
      <c r="T44" s="138">
        <f>22+22+13+11</f>
        <v>68</v>
      </c>
      <c r="U44" s="54">
        <f t="shared" ref="U44:U55" si="29">U43+R44</f>
        <v>3229</v>
      </c>
      <c r="V44" s="53">
        <f t="shared" ref="V44:V56" si="30">V43+T44</f>
        <v>1110</v>
      </c>
      <c r="W44" s="73"/>
      <c r="X44" s="137">
        <f t="shared" ref="X44:X49" si="31">Z44+AB44</f>
        <v>57</v>
      </c>
      <c r="Y44" s="131">
        <f t="shared" ref="Y44:Y49" si="32">Y43+X44</f>
        <v>1761</v>
      </c>
      <c r="Z44" s="138">
        <f>6+6+8+13</f>
        <v>33</v>
      </c>
      <c r="AA44" s="138"/>
      <c r="AB44" s="138">
        <f>5+9+2+8</f>
        <v>24</v>
      </c>
      <c r="AC44" s="128">
        <f t="shared" ref="AC44:AC55" si="33">AC43+Z44</f>
        <v>1282</v>
      </c>
      <c r="AD44" s="128">
        <f t="shared" ref="AD44:AD56" si="34">AD43+AB44</f>
        <v>479</v>
      </c>
      <c r="AE44" s="51">
        <f t="shared" ref="AE44:AE49" si="35">AG44+AI44</f>
        <v>391</v>
      </c>
      <c r="AF44" s="126">
        <f t="shared" ref="AF44:AF49" si="36">AF43+AE44</f>
        <v>10592</v>
      </c>
      <c r="AG44" s="54">
        <f t="shared" ref="AG44:AG56" si="37">D44+K44+R44+Z44</f>
        <v>219</v>
      </c>
      <c r="AH44" s="54"/>
      <c r="AI44" s="54">
        <f t="shared" ref="AI44:AI56" si="38">F44+M44+T44+AB44</f>
        <v>172</v>
      </c>
      <c r="AJ44" s="54">
        <f t="shared" ref="AJ44:AJ55" si="39">AJ43+AG44</f>
        <v>7793</v>
      </c>
      <c r="AK44" s="54">
        <f t="shared" ref="AK44:AK56" si="40">AK43+AI44</f>
        <v>2799</v>
      </c>
    </row>
    <row r="45" spans="1:37" s="135" customFormat="1" x14ac:dyDescent="0.2">
      <c r="A45" s="17">
        <v>2006</v>
      </c>
      <c r="B45" s="61">
        <f t="shared" ref="B45:B50" si="41">D45+F45</f>
        <v>67</v>
      </c>
      <c r="C45" s="53">
        <f t="shared" ref="C45:C50" si="42">C44+B45</f>
        <v>2603</v>
      </c>
      <c r="D45" s="54">
        <f>8+10+8+9</f>
        <v>35</v>
      </c>
      <c r="E45" s="54"/>
      <c r="F45" s="54">
        <f>8+11+4+9</f>
        <v>32</v>
      </c>
      <c r="G45" s="128">
        <f t="shared" si="22"/>
        <v>1772</v>
      </c>
      <c r="H45" s="128">
        <f t="shared" si="23"/>
        <v>831</v>
      </c>
      <c r="I45" s="51">
        <f t="shared" si="24"/>
        <v>87</v>
      </c>
      <c r="J45" s="53">
        <f t="shared" si="25"/>
        <v>2043</v>
      </c>
      <c r="K45" s="138">
        <f>16+16+20+13</f>
        <v>65</v>
      </c>
      <c r="L45" s="138"/>
      <c r="M45" s="138">
        <f>6+7+0+9</f>
        <v>22</v>
      </c>
      <c r="N45" s="54">
        <f t="shared" si="26"/>
        <v>1610</v>
      </c>
      <c r="O45" s="54">
        <f t="shared" si="27"/>
        <v>433</v>
      </c>
      <c r="P45" s="51">
        <f t="shared" ref="P45:P50" si="43">R45+T45</f>
        <v>145</v>
      </c>
      <c r="Q45" s="53">
        <f t="shared" si="28"/>
        <v>4484</v>
      </c>
      <c r="R45" s="62">
        <f>23+26+15+31</f>
        <v>95</v>
      </c>
      <c r="S45" s="62"/>
      <c r="T45" s="138">
        <f>11+17+6+16</f>
        <v>50</v>
      </c>
      <c r="U45" s="54">
        <f t="shared" si="29"/>
        <v>3324</v>
      </c>
      <c r="V45" s="53">
        <f t="shared" si="30"/>
        <v>1160</v>
      </c>
      <c r="W45" s="73"/>
      <c r="X45" s="137">
        <f t="shared" si="31"/>
        <v>66</v>
      </c>
      <c r="Y45" s="131">
        <f t="shared" si="32"/>
        <v>1827</v>
      </c>
      <c r="Z45" s="138">
        <f>12+11+6+10</f>
        <v>39</v>
      </c>
      <c r="AA45" s="138"/>
      <c r="AB45" s="138">
        <f>8+6+4+9</f>
        <v>27</v>
      </c>
      <c r="AC45" s="128">
        <f t="shared" si="33"/>
        <v>1321</v>
      </c>
      <c r="AD45" s="128">
        <f t="shared" si="34"/>
        <v>506</v>
      </c>
      <c r="AE45" s="51">
        <f t="shared" si="35"/>
        <v>365</v>
      </c>
      <c r="AF45" s="126">
        <f t="shared" si="36"/>
        <v>10957</v>
      </c>
      <c r="AG45" s="128">
        <f t="shared" si="37"/>
        <v>234</v>
      </c>
      <c r="AH45" s="128"/>
      <c r="AI45" s="128">
        <f t="shared" si="38"/>
        <v>131</v>
      </c>
      <c r="AJ45" s="54">
        <f t="shared" si="39"/>
        <v>8027</v>
      </c>
      <c r="AK45" s="54">
        <f t="shared" si="40"/>
        <v>2930</v>
      </c>
    </row>
    <row r="46" spans="1:37" s="135" customFormat="1" x14ac:dyDescent="0.2">
      <c r="A46" s="17">
        <v>2007</v>
      </c>
      <c r="B46" s="61">
        <f t="shared" si="41"/>
        <v>80</v>
      </c>
      <c r="C46" s="53">
        <f t="shared" si="42"/>
        <v>2683</v>
      </c>
      <c r="D46" s="54">
        <f>17+10+7+9</f>
        <v>43</v>
      </c>
      <c r="E46" s="54"/>
      <c r="F46" s="54">
        <f>9+13+6+9</f>
        <v>37</v>
      </c>
      <c r="G46" s="128">
        <f t="shared" si="22"/>
        <v>1815</v>
      </c>
      <c r="H46" s="128">
        <f t="shared" si="23"/>
        <v>868</v>
      </c>
      <c r="I46" s="51">
        <f t="shared" si="24"/>
        <v>65</v>
      </c>
      <c r="J46" s="53">
        <f t="shared" si="25"/>
        <v>2108</v>
      </c>
      <c r="K46" s="138">
        <f>22+10+12+6</f>
        <v>50</v>
      </c>
      <c r="L46" s="138"/>
      <c r="M46" s="138">
        <f>8+3+2+2</f>
        <v>15</v>
      </c>
      <c r="N46" s="54">
        <f t="shared" si="26"/>
        <v>1660</v>
      </c>
      <c r="O46" s="54">
        <f t="shared" si="27"/>
        <v>448</v>
      </c>
      <c r="P46" s="51">
        <f t="shared" si="43"/>
        <v>158</v>
      </c>
      <c r="Q46" s="53">
        <f t="shared" si="28"/>
        <v>4642</v>
      </c>
      <c r="R46" s="62">
        <f>26+19+29+36</f>
        <v>110</v>
      </c>
      <c r="S46" s="62"/>
      <c r="T46" s="138">
        <f>13+16+6+13</f>
        <v>48</v>
      </c>
      <c r="U46" s="54">
        <f t="shared" si="29"/>
        <v>3434</v>
      </c>
      <c r="V46" s="53">
        <f t="shared" si="30"/>
        <v>1208</v>
      </c>
      <c r="W46" s="73"/>
      <c r="X46" s="137">
        <f t="shared" si="31"/>
        <v>76</v>
      </c>
      <c r="Y46" s="131">
        <f t="shared" si="32"/>
        <v>1903</v>
      </c>
      <c r="Z46" s="138">
        <f>16+10+9+18</f>
        <v>53</v>
      </c>
      <c r="AA46" s="138"/>
      <c r="AB46" s="138">
        <f>5+7+3+8</f>
        <v>23</v>
      </c>
      <c r="AC46" s="128">
        <f t="shared" si="33"/>
        <v>1374</v>
      </c>
      <c r="AD46" s="128">
        <f t="shared" si="34"/>
        <v>529</v>
      </c>
      <c r="AE46" s="51">
        <f t="shared" si="35"/>
        <v>379</v>
      </c>
      <c r="AF46" s="126">
        <f t="shared" si="36"/>
        <v>11336</v>
      </c>
      <c r="AG46" s="128">
        <f t="shared" si="37"/>
        <v>256</v>
      </c>
      <c r="AH46" s="128"/>
      <c r="AI46" s="128">
        <f t="shared" si="38"/>
        <v>123</v>
      </c>
      <c r="AJ46" s="54">
        <f t="shared" si="39"/>
        <v>8283</v>
      </c>
      <c r="AK46" s="54">
        <f t="shared" si="40"/>
        <v>3053</v>
      </c>
    </row>
    <row r="47" spans="1:37" s="135" customFormat="1" x14ac:dyDescent="0.2">
      <c r="A47" s="17">
        <v>2008</v>
      </c>
      <c r="B47" s="61">
        <f t="shared" si="41"/>
        <v>84</v>
      </c>
      <c r="C47" s="53">
        <f t="shared" si="42"/>
        <v>2767</v>
      </c>
      <c r="D47" s="54">
        <f>21+13+11+13</f>
        <v>58</v>
      </c>
      <c r="E47" s="54"/>
      <c r="F47" s="54">
        <f>8+6+5+7</f>
        <v>26</v>
      </c>
      <c r="G47" s="128">
        <f t="shared" si="22"/>
        <v>1873</v>
      </c>
      <c r="H47" s="128">
        <f t="shared" si="23"/>
        <v>894</v>
      </c>
      <c r="I47" s="51">
        <f t="shared" si="24"/>
        <v>94</v>
      </c>
      <c r="J47" s="53">
        <f t="shared" si="25"/>
        <v>2202</v>
      </c>
      <c r="K47" s="138">
        <f>19+16+17+13</f>
        <v>65</v>
      </c>
      <c r="L47" s="138"/>
      <c r="M47" s="138">
        <f>7+6+5+11</f>
        <v>29</v>
      </c>
      <c r="N47" s="54">
        <f t="shared" si="26"/>
        <v>1725</v>
      </c>
      <c r="O47" s="54">
        <f t="shared" si="27"/>
        <v>477</v>
      </c>
      <c r="P47" s="51">
        <f t="shared" si="43"/>
        <v>175</v>
      </c>
      <c r="Q47" s="53">
        <f t="shared" si="28"/>
        <v>4817</v>
      </c>
      <c r="R47" s="62">
        <f>30+28+30+30</f>
        <v>118</v>
      </c>
      <c r="S47" s="62"/>
      <c r="T47" s="138">
        <f>11+19+7+20</f>
        <v>57</v>
      </c>
      <c r="U47" s="54">
        <f t="shared" si="29"/>
        <v>3552</v>
      </c>
      <c r="V47" s="53">
        <f t="shared" si="30"/>
        <v>1265</v>
      </c>
      <c r="W47" s="73"/>
      <c r="X47" s="137">
        <f t="shared" si="31"/>
        <v>66</v>
      </c>
      <c r="Y47" s="131">
        <f t="shared" si="32"/>
        <v>1969</v>
      </c>
      <c r="Z47" s="138">
        <f>10+4+10+18</f>
        <v>42</v>
      </c>
      <c r="AA47" s="138"/>
      <c r="AB47" s="138">
        <f>10+4+3+7</f>
        <v>24</v>
      </c>
      <c r="AC47" s="128">
        <f t="shared" si="33"/>
        <v>1416</v>
      </c>
      <c r="AD47" s="128">
        <f t="shared" si="34"/>
        <v>553</v>
      </c>
      <c r="AE47" s="51">
        <f t="shared" si="35"/>
        <v>419</v>
      </c>
      <c r="AF47" s="126">
        <f t="shared" si="36"/>
        <v>11755</v>
      </c>
      <c r="AG47" s="128">
        <f t="shared" si="37"/>
        <v>283</v>
      </c>
      <c r="AH47" s="128"/>
      <c r="AI47" s="128">
        <f t="shared" si="38"/>
        <v>136</v>
      </c>
      <c r="AJ47" s="54">
        <f t="shared" si="39"/>
        <v>8566</v>
      </c>
      <c r="AK47" s="54">
        <f t="shared" si="40"/>
        <v>3189</v>
      </c>
    </row>
    <row r="48" spans="1:37" s="135" customFormat="1" x14ac:dyDescent="0.2">
      <c r="A48" s="17">
        <v>2009</v>
      </c>
      <c r="B48" s="61">
        <f t="shared" si="41"/>
        <v>71</v>
      </c>
      <c r="C48" s="53">
        <f t="shared" si="42"/>
        <v>2838</v>
      </c>
      <c r="D48" s="54">
        <f>9+8+8+11</f>
        <v>36</v>
      </c>
      <c r="E48" s="54"/>
      <c r="F48" s="54">
        <f>8+13+5+9</f>
        <v>35</v>
      </c>
      <c r="G48" s="128">
        <f t="shared" si="22"/>
        <v>1909</v>
      </c>
      <c r="H48" s="128">
        <f t="shared" si="23"/>
        <v>929</v>
      </c>
      <c r="I48" s="51">
        <f t="shared" si="24"/>
        <v>91</v>
      </c>
      <c r="J48" s="53">
        <f t="shared" si="25"/>
        <v>2293</v>
      </c>
      <c r="K48" s="138">
        <f>11+10+12+11</f>
        <v>44</v>
      </c>
      <c r="L48" s="138"/>
      <c r="M48" s="138">
        <f>13+11+7+16</f>
        <v>47</v>
      </c>
      <c r="N48" s="54">
        <f t="shared" si="26"/>
        <v>1769</v>
      </c>
      <c r="O48" s="54">
        <f t="shared" si="27"/>
        <v>524</v>
      </c>
      <c r="P48" s="51">
        <f t="shared" si="43"/>
        <v>148</v>
      </c>
      <c r="Q48" s="53">
        <f t="shared" si="28"/>
        <v>4965</v>
      </c>
      <c r="R48" s="138">
        <f>27+24+22+30</f>
        <v>103</v>
      </c>
      <c r="S48" s="138"/>
      <c r="T48" s="138">
        <f>11+13+7+14</f>
        <v>45</v>
      </c>
      <c r="U48" s="54">
        <f t="shared" si="29"/>
        <v>3655</v>
      </c>
      <c r="V48" s="53">
        <f t="shared" si="30"/>
        <v>1310</v>
      </c>
      <c r="W48" s="73"/>
      <c r="X48" s="137">
        <f t="shared" si="31"/>
        <v>82</v>
      </c>
      <c r="Y48" s="131">
        <f t="shared" si="32"/>
        <v>2051</v>
      </c>
      <c r="Z48" s="138">
        <f>8+17+12+9</f>
        <v>46</v>
      </c>
      <c r="AA48" s="138"/>
      <c r="AB48" s="138">
        <f>10+11+5+10</f>
        <v>36</v>
      </c>
      <c r="AC48" s="128">
        <f t="shared" si="33"/>
        <v>1462</v>
      </c>
      <c r="AD48" s="128">
        <f t="shared" si="34"/>
        <v>589</v>
      </c>
      <c r="AE48" s="51">
        <f t="shared" si="35"/>
        <v>392</v>
      </c>
      <c r="AF48" s="126">
        <f t="shared" si="36"/>
        <v>12147</v>
      </c>
      <c r="AG48" s="128">
        <f t="shared" si="37"/>
        <v>229</v>
      </c>
      <c r="AH48" s="128"/>
      <c r="AI48" s="128">
        <f t="shared" si="38"/>
        <v>163</v>
      </c>
      <c r="AJ48" s="54">
        <f t="shared" si="39"/>
        <v>8795</v>
      </c>
      <c r="AK48" s="54">
        <f t="shared" si="40"/>
        <v>3352</v>
      </c>
    </row>
    <row r="49" spans="1:39" s="135" customFormat="1" x14ac:dyDescent="0.2">
      <c r="A49" s="17">
        <v>2010</v>
      </c>
      <c r="B49" s="61">
        <f t="shared" si="41"/>
        <v>72</v>
      </c>
      <c r="C49" s="53">
        <f t="shared" si="42"/>
        <v>2910</v>
      </c>
      <c r="D49" s="128">
        <f>14+7+9+11</f>
        <v>41</v>
      </c>
      <c r="E49" s="128"/>
      <c r="F49" s="128">
        <f>7+10+5+9</f>
        <v>31</v>
      </c>
      <c r="G49" s="128">
        <f t="shared" si="22"/>
        <v>1950</v>
      </c>
      <c r="H49" s="128">
        <f t="shared" si="23"/>
        <v>960</v>
      </c>
      <c r="I49" s="137">
        <f t="shared" si="24"/>
        <v>86</v>
      </c>
      <c r="J49" s="131">
        <f t="shared" si="25"/>
        <v>2379</v>
      </c>
      <c r="K49" s="138">
        <f>13+12+15+9</f>
        <v>49</v>
      </c>
      <c r="L49" s="138"/>
      <c r="M49" s="138">
        <f>9+11+8+9</f>
        <v>37</v>
      </c>
      <c r="N49" s="128">
        <f t="shared" si="26"/>
        <v>1818</v>
      </c>
      <c r="O49" s="128">
        <f t="shared" si="27"/>
        <v>561</v>
      </c>
      <c r="P49" s="51">
        <f t="shared" si="43"/>
        <v>140</v>
      </c>
      <c r="Q49" s="53">
        <f t="shared" si="28"/>
        <v>5105</v>
      </c>
      <c r="R49" s="138">
        <f>13+19+24+25</f>
        <v>81</v>
      </c>
      <c r="S49" s="138"/>
      <c r="T49" s="138">
        <f>17+17+10+15</f>
        <v>59</v>
      </c>
      <c r="U49" s="54">
        <f t="shared" si="29"/>
        <v>3736</v>
      </c>
      <c r="V49" s="53">
        <f t="shared" si="30"/>
        <v>1369</v>
      </c>
      <c r="W49" s="73"/>
      <c r="X49" s="137">
        <f t="shared" si="31"/>
        <v>72</v>
      </c>
      <c r="Y49" s="131">
        <f t="shared" si="32"/>
        <v>2123</v>
      </c>
      <c r="Z49" s="138">
        <f>3+6+17+5</f>
        <v>31</v>
      </c>
      <c r="AA49" s="138"/>
      <c r="AB49" s="138">
        <f>14+11+5+11</f>
        <v>41</v>
      </c>
      <c r="AC49" s="128">
        <f t="shared" si="33"/>
        <v>1493</v>
      </c>
      <c r="AD49" s="128">
        <f t="shared" si="34"/>
        <v>630</v>
      </c>
      <c r="AE49" s="51">
        <f t="shared" si="35"/>
        <v>370</v>
      </c>
      <c r="AF49" s="126">
        <f t="shared" si="36"/>
        <v>12517</v>
      </c>
      <c r="AG49" s="128">
        <f t="shared" si="37"/>
        <v>202</v>
      </c>
      <c r="AH49" s="128"/>
      <c r="AI49" s="128">
        <f t="shared" si="38"/>
        <v>168</v>
      </c>
      <c r="AJ49" s="54">
        <f t="shared" si="39"/>
        <v>8997</v>
      </c>
      <c r="AK49" s="54">
        <f t="shared" si="40"/>
        <v>3520</v>
      </c>
    </row>
    <row r="50" spans="1:39" s="164" customFormat="1" x14ac:dyDescent="0.2">
      <c r="A50" s="157">
        <v>2011</v>
      </c>
      <c r="B50" s="61">
        <f t="shared" si="41"/>
        <v>110</v>
      </c>
      <c r="C50" s="126">
        <f t="shared" si="42"/>
        <v>3020</v>
      </c>
      <c r="D50" s="141">
        <f>16+16+20+15</f>
        <v>67</v>
      </c>
      <c r="E50" s="141"/>
      <c r="F50" s="141">
        <f>14+10+8+11</f>
        <v>43</v>
      </c>
      <c r="G50" s="141">
        <f t="shared" si="22"/>
        <v>2017</v>
      </c>
      <c r="H50" s="141">
        <f t="shared" si="23"/>
        <v>1003</v>
      </c>
      <c r="I50" s="161">
        <f t="shared" ref="I50:I55" si="44">K50+M50</f>
        <v>106</v>
      </c>
      <c r="J50" s="126">
        <f t="shared" ref="J50:J55" si="45">J49+I50</f>
        <v>2485</v>
      </c>
      <c r="K50" s="136">
        <f>10+18+18+13</f>
        <v>59</v>
      </c>
      <c r="L50" s="136"/>
      <c r="M50" s="136">
        <f>10+19+5+13</f>
        <v>47</v>
      </c>
      <c r="N50" s="133">
        <f t="shared" si="26"/>
        <v>1877</v>
      </c>
      <c r="O50" s="133">
        <f t="shared" si="27"/>
        <v>608</v>
      </c>
      <c r="P50" s="161">
        <f t="shared" si="43"/>
        <v>159</v>
      </c>
      <c r="Q50" s="126">
        <f t="shared" ref="Q50:Q55" si="46">Q49+P50</f>
        <v>5264</v>
      </c>
      <c r="R50" s="136">
        <f>38+17+20+18</f>
        <v>93</v>
      </c>
      <c r="S50" s="136"/>
      <c r="T50" s="136">
        <f>19+19+9+19</f>
        <v>66</v>
      </c>
      <c r="U50" s="133">
        <f t="shared" si="29"/>
        <v>3829</v>
      </c>
      <c r="V50" s="126">
        <f t="shared" si="30"/>
        <v>1435</v>
      </c>
      <c r="W50" s="162"/>
      <c r="X50" s="163">
        <f t="shared" ref="X50:X55" si="47">Z50+AB50</f>
        <v>60</v>
      </c>
      <c r="Y50" s="155">
        <f t="shared" ref="Y50:Y55" si="48">Y49+X50</f>
        <v>2183</v>
      </c>
      <c r="Z50" s="136">
        <f>4+11+3+14</f>
        <v>32</v>
      </c>
      <c r="AA50" s="136"/>
      <c r="AB50" s="136">
        <f>7+12+5+4</f>
        <v>28</v>
      </c>
      <c r="AC50" s="141">
        <f t="shared" si="33"/>
        <v>1525</v>
      </c>
      <c r="AD50" s="141">
        <f t="shared" si="34"/>
        <v>658</v>
      </c>
      <c r="AE50" s="161">
        <f t="shared" ref="AE50:AE55" si="49">AG50+AI50</f>
        <v>435</v>
      </c>
      <c r="AF50" s="126">
        <f t="shared" ref="AF50:AF55" si="50">AF49+AE50</f>
        <v>12952</v>
      </c>
      <c r="AG50" s="141">
        <f t="shared" si="37"/>
        <v>251</v>
      </c>
      <c r="AH50" s="141"/>
      <c r="AI50" s="141">
        <f t="shared" si="38"/>
        <v>184</v>
      </c>
      <c r="AJ50" s="133">
        <f t="shared" si="39"/>
        <v>9248</v>
      </c>
      <c r="AK50" s="133">
        <f t="shared" si="40"/>
        <v>3704</v>
      </c>
    </row>
    <row r="51" spans="1:39" s="164" customFormat="1" x14ac:dyDescent="0.2">
      <c r="A51" s="157">
        <v>2012</v>
      </c>
      <c r="B51" s="129">
        <f>D51+F51</f>
        <v>84</v>
      </c>
      <c r="C51" s="126">
        <f t="shared" ref="C51:C56" si="51">C50+B51</f>
        <v>3104</v>
      </c>
      <c r="D51" s="141">
        <f>11+15+15+11</f>
        <v>52</v>
      </c>
      <c r="E51" s="141"/>
      <c r="F51" s="141">
        <f>9+10+6+7</f>
        <v>32</v>
      </c>
      <c r="G51" s="141">
        <f t="shared" si="22"/>
        <v>2069</v>
      </c>
      <c r="H51" s="141">
        <f t="shared" si="23"/>
        <v>1035</v>
      </c>
      <c r="I51" s="161">
        <f t="shared" si="44"/>
        <v>118</v>
      </c>
      <c r="J51" s="126">
        <f t="shared" si="45"/>
        <v>2603</v>
      </c>
      <c r="K51" s="136">
        <f>10+19+25+25</f>
        <v>79</v>
      </c>
      <c r="L51" s="136"/>
      <c r="M51" s="136">
        <f>12+11+5+11</f>
        <v>39</v>
      </c>
      <c r="N51" s="133">
        <f t="shared" si="26"/>
        <v>1956</v>
      </c>
      <c r="O51" s="133">
        <f t="shared" si="27"/>
        <v>647</v>
      </c>
      <c r="P51" s="161">
        <f>R51+T51</f>
        <v>142</v>
      </c>
      <c r="Q51" s="126">
        <f t="shared" si="46"/>
        <v>5406</v>
      </c>
      <c r="R51" s="136">
        <f>22+14+22+21</f>
        <v>79</v>
      </c>
      <c r="S51" s="136"/>
      <c r="T51" s="136">
        <f>21+18+10+14</f>
        <v>63</v>
      </c>
      <c r="U51" s="133">
        <f t="shared" si="29"/>
        <v>3908</v>
      </c>
      <c r="V51" s="126">
        <f t="shared" si="30"/>
        <v>1498</v>
      </c>
      <c r="W51" s="162"/>
      <c r="X51" s="163">
        <f t="shared" si="47"/>
        <v>54</v>
      </c>
      <c r="Y51" s="155">
        <f t="shared" si="48"/>
        <v>2237</v>
      </c>
      <c r="Z51" s="136">
        <f>7+8+12+6</f>
        <v>33</v>
      </c>
      <c r="AA51" s="136"/>
      <c r="AB51" s="136">
        <f>4+7+3+7</f>
        <v>21</v>
      </c>
      <c r="AC51" s="141">
        <f t="shared" si="33"/>
        <v>1558</v>
      </c>
      <c r="AD51" s="141">
        <f t="shared" si="34"/>
        <v>679</v>
      </c>
      <c r="AE51" s="161">
        <f t="shared" si="49"/>
        <v>398</v>
      </c>
      <c r="AF51" s="126">
        <f t="shared" si="50"/>
        <v>13350</v>
      </c>
      <c r="AG51" s="141">
        <f t="shared" si="37"/>
        <v>243</v>
      </c>
      <c r="AH51" s="141"/>
      <c r="AI51" s="141">
        <f t="shared" si="38"/>
        <v>155</v>
      </c>
      <c r="AJ51" s="133">
        <f t="shared" si="39"/>
        <v>9491</v>
      </c>
      <c r="AK51" s="133">
        <f t="shared" si="40"/>
        <v>3859</v>
      </c>
    </row>
    <row r="52" spans="1:39" s="211" customFormat="1" x14ac:dyDescent="0.2">
      <c r="A52" s="154">
        <v>2013</v>
      </c>
      <c r="B52" s="209">
        <f>D52+F52</f>
        <v>79</v>
      </c>
      <c r="C52" s="155">
        <f t="shared" si="51"/>
        <v>3183</v>
      </c>
      <c r="D52" s="141">
        <f>6+10+18+13</f>
        <v>47</v>
      </c>
      <c r="E52" s="141"/>
      <c r="F52" s="141">
        <f>10+11+1+10</f>
        <v>32</v>
      </c>
      <c r="G52" s="141">
        <f t="shared" si="22"/>
        <v>2116</v>
      </c>
      <c r="H52" s="141">
        <f t="shared" si="23"/>
        <v>1067</v>
      </c>
      <c r="I52" s="163">
        <f t="shared" si="44"/>
        <v>119</v>
      </c>
      <c r="J52" s="155">
        <f t="shared" si="45"/>
        <v>2722</v>
      </c>
      <c r="K52" s="136">
        <f>12+19+17+24</f>
        <v>72</v>
      </c>
      <c r="L52" s="136"/>
      <c r="M52" s="136">
        <f>9+15+8+15</f>
        <v>47</v>
      </c>
      <c r="N52" s="141">
        <f t="shared" si="26"/>
        <v>2028</v>
      </c>
      <c r="O52" s="141">
        <f t="shared" si="27"/>
        <v>694</v>
      </c>
      <c r="P52" s="163">
        <f>R52+T52</f>
        <v>155</v>
      </c>
      <c r="Q52" s="155">
        <f t="shared" si="46"/>
        <v>5561</v>
      </c>
      <c r="R52" s="136">
        <f>19+25+30+31</f>
        <v>105</v>
      </c>
      <c r="S52" s="136"/>
      <c r="T52" s="136">
        <f>18+19+5+8</f>
        <v>50</v>
      </c>
      <c r="U52" s="141">
        <f t="shared" si="29"/>
        <v>4013</v>
      </c>
      <c r="V52" s="155">
        <f t="shared" si="30"/>
        <v>1548</v>
      </c>
      <c r="W52" s="210"/>
      <c r="X52" s="163">
        <f t="shared" si="47"/>
        <v>68</v>
      </c>
      <c r="Y52" s="155">
        <f t="shared" si="48"/>
        <v>2305</v>
      </c>
      <c r="Z52" s="136">
        <f>12+11+12+11</f>
        <v>46</v>
      </c>
      <c r="AA52" s="136"/>
      <c r="AB52" s="136">
        <f>7+6+3+6</f>
        <v>22</v>
      </c>
      <c r="AC52" s="141">
        <f t="shared" si="33"/>
        <v>1604</v>
      </c>
      <c r="AD52" s="141">
        <f t="shared" si="34"/>
        <v>701</v>
      </c>
      <c r="AE52" s="163">
        <f t="shared" si="49"/>
        <v>421</v>
      </c>
      <c r="AF52" s="155">
        <f t="shared" si="50"/>
        <v>13771</v>
      </c>
      <c r="AG52" s="141">
        <f t="shared" si="37"/>
        <v>270</v>
      </c>
      <c r="AH52" s="141"/>
      <c r="AI52" s="141">
        <f t="shared" si="38"/>
        <v>151</v>
      </c>
      <c r="AJ52" s="141">
        <f t="shared" si="39"/>
        <v>9761</v>
      </c>
      <c r="AK52" s="141">
        <f t="shared" si="40"/>
        <v>4010</v>
      </c>
    </row>
    <row r="53" spans="1:39" s="194" customFormat="1" x14ac:dyDescent="0.2">
      <c r="A53" s="154">
        <v>2014</v>
      </c>
      <c r="B53" s="209">
        <f>D53+F53</f>
        <v>114</v>
      </c>
      <c r="C53" s="155">
        <f t="shared" si="51"/>
        <v>3297</v>
      </c>
      <c r="D53" s="141">
        <f>19+18+21+20</f>
        <v>78</v>
      </c>
      <c r="E53" s="141"/>
      <c r="F53" s="141">
        <f>9+12+5+10</f>
        <v>36</v>
      </c>
      <c r="G53" s="141">
        <f t="shared" si="22"/>
        <v>2194</v>
      </c>
      <c r="H53" s="141">
        <f t="shared" si="23"/>
        <v>1103</v>
      </c>
      <c r="I53" s="163">
        <f t="shared" si="44"/>
        <v>115</v>
      </c>
      <c r="J53" s="155">
        <f t="shared" si="45"/>
        <v>2837</v>
      </c>
      <c r="K53" s="136">
        <f>14+22+17+24</f>
        <v>77</v>
      </c>
      <c r="L53" s="136"/>
      <c r="M53" s="136">
        <f>12+7+6+13</f>
        <v>38</v>
      </c>
      <c r="N53" s="141">
        <f t="shared" si="26"/>
        <v>2105</v>
      </c>
      <c r="O53" s="141">
        <f t="shared" si="27"/>
        <v>732</v>
      </c>
      <c r="P53" s="163">
        <f>R53+T53</f>
        <v>143</v>
      </c>
      <c r="Q53" s="155">
        <f t="shared" si="46"/>
        <v>5704</v>
      </c>
      <c r="R53" s="136">
        <f>16+26+25+22</f>
        <v>89</v>
      </c>
      <c r="S53" s="136"/>
      <c r="T53" s="136">
        <f>14+11+8+21</f>
        <v>54</v>
      </c>
      <c r="U53" s="141">
        <f t="shared" si="29"/>
        <v>4102</v>
      </c>
      <c r="V53" s="155">
        <f t="shared" si="30"/>
        <v>1602</v>
      </c>
      <c r="W53" s="210"/>
      <c r="X53" s="163">
        <f t="shared" si="47"/>
        <v>68</v>
      </c>
      <c r="Y53" s="155">
        <f t="shared" si="48"/>
        <v>2373</v>
      </c>
      <c r="Z53" s="136">
        <f>13+6+16+10</f>
        <v>45</v>
      </c>
      <c r="AA53" s="136"/>
      <c r="AB53" s="136">
        <f>4+8+3+8</f>
        <v>23</v>
      </c>
      <c r="AC53" s="141">
        <f t="shared" si="33"/>
        <v>1649</v>
      </c>
      <c r="AD53" s="141">
        <f t="shared" si="34"/>
        <v>724</v>
      </c>
      <c r="AE53" s="163">
        <f t="shared" si="49"/>
        <v>440</v>
      </c>
      <c r="AF53" s="155">
        <f t="shared" si="50"/>
        <v>14211</v>
      </c>
      <c r="AG53" s="141">
        <f t="shared" si="37"/>
        <v>289</v>
      </c>
      <c r="AH53" s="141"/>
      <c r="AI53" s="141">
        <f t="shared" si="38"/>
        <v>151</v>
      </c>
      <c r="AJ53" s="141">
        <f t="shared" si="39"/>
        <v>10050</v>
      </c>
      <c r="AK53" s="141">
        <f t="shared" si="40"/>
        <v>4161</v>
      </c>
      <c r="AL53" s="211"/>
      <c r="AM53" s="211"/>
    </row>
    <row r="54" spans="1:39" s="211" customFormat="1" x14ac:dyDescent="0.2">
      <c r="A54" s="154">
        <v>2015</v>
      </c>
      <c r="B54" s="209">
        <f>D54+F54</f>
        <v>92</v>
      </c>
      <c r="C54" s="155">
        <f t="shared" si="51"/>
        <v>3389</v>
      </c>
      <c r="D54" s="141">
        <f>16+14+15+16</f>
        <v>61</v>
      </c>
      <c r="E54" s="141"/>
      <c r="F54" s="141">
        <f>10+11+4+6</f>
        <v>31</v>
      </c>
      <c r="G54" s="141">
        <f t="shared" si="22"/>
        <v>2255</v>
      </c>
      <c r="H54" s="141">
        <f t="shared" si="23"/>
        <v>1134</v>
      </c>
      <c r="I54" s="163">
        <f t="shared" si="44"/>
        <v>98</v>
      </c>
      <c r="J54" s="155">
        <f t="shared" si="45"/>
        <v>2935</v>
      </c>
      <c r="K54" s="136">
        <f>25+12+18+13</f>
        <v>68</v>
      </c>
      <c r="L54" s="136"/>
      <c r="M54" s="136">
        <f>4+9+5+12</f>
        <v>30</v>
      </c>
      <c r="N54" s="141">
        <f t="shared" si="26"/>
        <v>2173</v>
      </c>
      <c r="O54" s="141">
        <f t="shared" si="27"/>
        <v>762</v>
      </c>
      <c r="P54" s="163">
        <f>R54+T54</f>
        <v>189</v>
      </c>
      <c r="Q54" s="155">
        <f t="shared" si="46"/>
        <v>5893</v>
      </c>
      <c r="R54" s="136">
        <f>37+38+28+33</f>
        <v>136</v>
      </c>
      <c r="S54" s="136"/>
      <c r="T54" s="136">
        <f>15+20+8+10</f>
        <v>53</v>
      </c>
      <c r="U54" s="141">
        <f t="shared" si="29"/>
        <v>4238</v>
      </c>
      <c r="V54" s="155">
        <f t="shared" si="30"/>
        <v>1655</v>
      </c>
      <c r="W54" s="210"/>
      <c r="X54" s="163">
        <f t="shared" si="47"/>
        <v>47</v>
      </c>
      <c r="Y54" s="155">
        <f t="shared" si="48"/>
        <v>2420</v>
      </c>
      <c r="Z54" s="136">
        <f>13+5+6+6</f>
        <v>30</v>
      </c>
      <c r="AA54" s="136"/>
      <c r="AB54" s="136">
        <f>4+3+4+6</f>
        <v>17</v>
      </c>
      <c r="AC54" s="141">
        <f t="shared" si="33"/>
        <v>1679</v>
      </c>
      <c r="AD54" s="141">
        <f t="shared" si="34"/>
        <v>741</v>
      </c>
      <c r="AE54" s="163">
        <f t="shared" si="49"/>
        <v>426</v>
      </c>
      <c r="AF54" s="155">
        <f t="shared" si="50"/>
        <v>14637</v>
      </c>
      <c r="AG54" s="141">
        <f t="shared" si="37"/>
        <v>295</v>
      </c>
      <c r="AH54" s="141"/>
      <c r="AI54" s="141">
        <f t="shared" si="38"/>
        <v>131</v>
      </c>
      <c r="AJ54" s="141">
        <f t="shared" si="39"/>
        <v>10345</v>
      </c>
      <c r="AK54" s="141">
        <f t="shared" si="40"/>
        <v>4292</v>
      </c>
    </row>
    <row r="55" spans="1:39" s="211" customFormat="1" x14ac:dyDescent="0.2">
      <c r="A55" s="150">
        <v>2016</v>
      </c>
      <c r="B55" s="209">
        <f>D55+F55</f>
        <v>101</v>
      </c>
      <c r="C55" s="155">
        <f t="shared" si="51"/>
        <v>3490</v>
      </c>
      <c r="D55" s="141">
        <f>18+18+13+22</f>
        <v>71</v>
      </c>
      <c r="E55" s="141"/>
      <c r="F55" s="141">
        <f>7+11+4+8</f>
        <v>30</v>
      </c>
      <c r="G55" s="141">
        <f t="shared" si="22"/>
        <v>2326</v>
      </c>
      <c r="H55" s="141">
        <f t="shared" si="23"/>
        <v>1164</v>
      </c>
      <c r="I55" s="163">
        <f t="shared" si="44"/>
        <v>112</v>
      </c>
      <c r="J55" s="155">
        <f t="shared" si="45"/>
        <v>3047</v>
      </c>
      <c r="K55" s="136">
        <f>14+24+21+21</f>
        <v>80</v>
      </c>
      <c r="L55" s="136"/>
      <c r="M55" s="136">
        <f>7+10+5+10</f>
        <v>32</v>
      </c>
      <c r="N55" s="141">
        <f t="shared" si="26"/>
        <v>2253</v>
      </c>
      <c r="O55" s="141">
        <f t="shared" si="27"/>
        <v>794</v>
      </c>
      <c r="P55" s="163">
        <f>R55+T55</f>
        <v>136</v>
      </c>
      <c r="Q55" s="155">
        <f t="shared" si="46"/>
        <v>6029</v>
      </c>
      <c r="R55" s="136">
        <f>31+16+20+21</f>
        <v>88</v>
      </c>
      <c r="S55" s="136"/>
      <c r="T55" s="136">
        <f>14+13+9+12</f>
        <v>48</v>
      </c>
      <c r="U55" s="141">
        <f t="shared" si="29"/>
        <v>4326</v>
      </c>
      <c r="V55" s="155">
        <f t="shared" si="30"/>
        <v>1703</v>
      </c>
      <c r="W55" s="210"/>
      <c r="X55" s="163">
        <f t="shared" si="47"/>
        <v>76</v>
      </c>
      <c r="Y55" s="155">
        <f t="shared" si="48"/>
        <v>2496</v>
      </c>
      <c r="Z55" s="136">
        <f>15+8+17+11</f>
        <v>51</v>
      </c>
      <c r="AA55" s="136"/>
      <c r="AB55" s="136">
        <f>5+9+3+8</f>
        <v>25</v>
      </c>
      <c r="AC55" s="141">
        <f t="shared" si="33"/>
        <v>1730</v>
      </c>
      <c r="AD55" s="141">
        <f t="shared" si="34"/>
        <v>766</v>
      </c>
      <c r="AE55" s="163">
        <f t="shared" si="49"/>
        <v>425</v>
      </c>
      <c r="AF55" s="155">
        <f t="shared" si="50"/>
        <v>15062</v>
      </c>
      <c r="AG55" s="141">
        <f t="shared" si="37"/>
        <v>290</v>
      </c>
      <c r="AH55" s="141"/>
      <c r="AI55" s="141">
        <f t="shared" si="38"/>
        <v>135</v>
      </c>
      <c r="AJ55" s="141">
        <f t="shared" si="39"/>
        <v>10635</v>
      </c>
      <c r="AK55" s="141">
        <f t="shared" si="40"/>
        <v>4427</v>
      </c>
    </row>
    <row r="56" spans="1:39" s="211" customFormat="1" x14ac:dyDescent="0.2">
      <c r="A56" s="150">
        <v>2017</v>
      </c>
      <c r="B56" s="209">
        <f t="shared" ref="B56:B61" si="52">D56+E56+F56</f>
        <v>118</v>
      </c>
      <c r="C56" s="155">
        <f t="shared" si="51"/>
        <v>3608</v>
      </c>
      <c r="D56" s="141">
        <f>22+20+20+25</f>
        <v>87</v>
      </c>
      <c r="E56" s="141"/>
      <c r="F56" s="141">
        <f>8+8+4+11</f>
        <v>31</v>
      </c>
      <c r="G56" s="141">
        <f t="shared" ref="G56:G61" si="53">G55+D56+E56</f>
        <v>2413</v>
      </c>
      <c r="H56" s="141">
        <f t="shared" si="23"/>
        <v>1195</v>
      </c>
      <c r="I56" s="163">
        <f t="shared" ref="I56:I61" si="54">K56+L56+M56</f>
        <v>110</v>
      </c>
      <c r="J56" s="155">
        <f t="shared" ref="J56:J61" si="55">J55+I56</f>
        <v>3157</v>
      </c>
      <c r="K56" s="136">
        <f>12+17+23+23</f>
        <v>75</v>
      </c>
      <c r="L56" s="136"/>
      <c r="M56" s="136">
        <f>9+7+5+14</f>
        <v>35</v>
      </c>
      <c r="N56" s="141">
        <f t="shared" ref="N56:N61" si="56">N55+K56+L56</f>
        <v>2328</v>
      </c>
      <c r="O56" s="141">
        <f t="shared" si="27"/>
        <v>829</v>
      </c>
      <c r="P56" s="163">
        <f t="shared" ref="P56:P61" si="57">R56+S56+T56</f>
        <v>150</v>
      </c>
      <c r="Q56" s="155">
        <f t="shared" ref="Q56:Q61" si="58">Q55+P56</f>
        <v>6179</v>
      </c>
      <c r="R56" s="136">
        <f>29+35+25+24</f>
        <v>113</v>
      </c>
      <c r="S56" s="136"/>
      <c r="T56" s="136">
        <f>8+12+6+11</f>
        <v>37</v>
      </c>
      <c r="U56" s="141">
        <f t="shared" ref="U56:U61" si="59">U55+R56+S56</f>
        <v>4439</v>
      </c>
      <c r="V56" s="155">
        <f t="shared" si="30"/>
        <v>1740</v>
      </c>
      <c r="W56" s="210"/>
      <c r="X56" s="163">
        <f t="shared" ref="X56:X61" si="60">Z56+AA56+AB56</f>
        <v>96</v>
      </c>
      <c r="Y56" s="155">
        <f t="shared" ref="Y56:Y61" si="61">Y55+X56</f>
        <v>2592</v>
      </c>
      <c r="Z56" s="136">
        <f>14+22+21+17</f>
        <v>74</v>
      </c>
      <c r="AA56" s="136"/>
      <c r="AB56" s="136">
        <f>6+6+1+9</f>
        <v>22</v>
      </c>
      <c r="AC56" s="141">
        <f t="shared" ref="AC56:AC61" si="62">AC55+Z56+AA56</f>
        <v>1804</v>
      </c>
      <c r="AD56" s="141">
        <f t="shared" si="34"/>
        <v>788</v>
      </c>
      <c r="AE56" s="163">
        <f t="shared" ref="AE56:AE61" si="63">AG56+AH56+AI56</f>
        <v>474</v>
      </c>
      <c r="AF56" s="155">
        <f t="shared" ref="AF56:AF61" si="64">AF55+AE56</f>
        <v>15536</v>
      </c>
      <c r="AG56" s="141">
        <f t="shared" si="37"/>
        <v>349</v>
      </c>
      <c r="AH56" s="141">
        <f t="shared" ref="AH56:AH61" si="65">E56+L56+S56+AA56</f>
        <v>0</v>
      </c>
      <c r="AI56" s="141">
        <f t="shared" si="38"/>
        <v>125</v>
      </c>
      <c r="AJ56" s="141">
        <f t="shared" ref="AJ56:AJ61" si="66">AJ55+AG56+AH56</f>
        <v>10984</v>
      </c>
      <c r="AK56" s="141">
        <f t="shared" si="40"/>
        <v>4552</v>
      </c>
    </row>
    <row r="57" spans="1:39" s="194" customFormat="1" x14ac:dyDescent="0.2">
      <c r="A57" s="150">
        <v>2018</v>
      </c>
      <c r="B57" s="209">
        <f t="shared" si="52"/>
        <v>91</v>
      </c>
      <c r="C57" s="155">
        <f t="shared" ref="C57:C63" si="67">C56+B57</f>
        <v>3699</v>
      </c>
      <c r="D57" s="141">
        <f>12+12+14+19</f>
        <v>57</v>
      </c>
      <c r="E57" s="141">
        <f>5+2+0+3</f>
        <v>10</v>
      </c>
      <c r="F57" s="141">
        <f>5+7+3+9</f>
        <v>24</v>
      </c>
      <c r="G57" s="141">
        <f t="shared" si="53"/>
        <v>2480</v>
      </c>
      <c r="H57" s="141">
        <f t="shared" ref="H57:H63" si="68">H56+F57</f>
        <v>1219</v>
      </c>
      <c r="I57" s="163">
        <f t="shared" si="54"/>
        <v>99</v>
      </c>
      <c r="J57" s="155">
        <f t="shared" si="55"/>
        <v>3256</v>
      </c>
      <c r="K57" s="136">
        <f>12+11+15+18</f>
        <v>56</v>
      </c>
      <c r="L57" s="136">
        <f>4+2+0+1</f>
        <v>7</v>
      </c>
      <c r="M57" s="136">
        <f>13+12+5+6</f>
        <v>36</v>
      </c>
      <c r="N57" s="141">
        <f t="shared" si="56"/>
        <v>2391</v>
      </c>
      <c r="O57" s="141">
        <f t="shared" ref="O57:O63" si="69">O56+M57</f>
        <v>865</v>
      </c>
      <c r="P57" s="163">
        <f t="shared" si="57"/>
        <v>166</v>
      </c>
      <c r="Q57" s="155">
        <f t="shared" si="58"/>
        <v>6345</v>
      </c>
      <c r="R57" s="136">
        <f>24+19+45+29</f>
        <v>117</v>
      </c>
      <c r="S57" s="136">
        <f>0</f>
        <v>0</v>
      </c>
      <c r="T57" s="136">
        <f>13+16+8+12</f>
        <v>49</v>
      </c>
      <c r="U57" s="141">
        <f t="shared" si="59"/>
        <v>4556</v>
      </c>
      <c r="V57" s="155">
        <f t="shared" ref="V57:V63" si="70">V56+T57</f>
        <v>1789</v>
      </c>
      <c r="W57" s="210"/>
      <c r="X57" s="163">
        <f t="shared" si="60"/>
        <v>92</v>
      </c>
      <c r="Y57" s="155">
        <f t="shared" si="61"/>
        <v>2684</v>
      </c>
      <c r="Z57" s="136">
        <f>12+11+22+12</f>
        <v>57</v>
      </c>
      <c r="AA57" s="136">
        <f>0</f>
        <v>0</v>
      </c>
      <c r="AB57" s="136">
        <f>10+9+5+11</f>
        <v>35</v>
      </c>
      <c r="AC57" s="141">
        <f t="shared" si="62"/>
        <v>1861</v>
      </c>
      <c r="AD57" s="141">
        <f t="shared" ref="AD57:AD63" si="71">AD56+AB57</f>
        <v>823</v>
      </c>
      <c r="AE57" s="163">
        <f t="shared" si="63"/>
        <v>448</v>
      </c>
      <c r="AF57" s="155">
        <f t="shared" si="64"/>
        <v>15984</v>
      </c>
      <c r="AG57" s="141">
        <f t="shared" ref="AG57:AG63" si="72">D57+K57+R57+Z57</f>
        <v>287</v>
      </c>
      <c r="AH57" s="141">
        <f t="shared" si="65"/>
        <v>17</v>
      </c>
      <c r="AI57" s="141">
        <f t="shared" ref="AI57:AI63" si="73">F57+M57+T57+AB57</f>
        <v>144</v>
      </c>
      <c r="AJ57" s="141">
        <f t="shared" si="66"/>
        <v>11288</v>
      </c>
      <c r="AK57" s="141">
        <f t="shared" ref="AK57:AK63" si="74">AK56+AI57</f>
        <v>4696</v>
      </c>
      <c r="AL57" s="211"/>
    </row>
    <row r="58" spans="1:39" s="211" customFormat="1" x14ac:dyDescent="0.2">
      <c r="A58" s="150">
        <v>2019</v>
      </c>
      <c r="B58" s="209">
        <f t="shared" si="52"/>
        <v>104</v>
      </c>
      <c r="C58" s="155">
        <f t="shared" si="67"/>
        <v>3803</v>
      </c>
      <c r="D58" s="141">
        <f>21+18+11+15</f>
        <v>65</v>
      </c>
      <c r="E58" s="141">
        <f>0+0+0+3</f>
        <v>3</v>
      </c>
      <c r="F58" s="141">
        <f>9+8+5+14</f>
        <v>36</v>
      </c>
      <c r="G58" s="141">
        <f t="shared" si="53"/>
        <v>2548</v>
      </c>
      <c r="H58" s="141">
        <f t="shared" si="68"/>
        <v>1255</v>
      </c>
      <c r="I58" s="163">
        <f t="shared" si="54"/>
        <v>96</v>
      </c>
      <c r="J58" s="155">
        <f t="shared" si="55"/>
        <v>3352</v>
      </c>
      <c r="K58" s="136">
        <f>17+19+11+16</f>
        <v>63</v>
      </c>
      <c r="L58" s="136">
        <f>0+0+0+1</f>
        <v>1</v>
      </c>
      <c r="M58" s="136">
        <f>7+8+6+11</f>
        <v>32</v>
      </c>
      <c r="N58" s="141">
        <f t="shared" si="56"/>
        <v>2455</v>
      </c>
      <c r="O58" s="141">
        <f t="shared" si="69"/>
        <v>897</v>
      </c>
      <c r="P58" s="163">
        <f t="shared" si="57"/>
        <v>202</v>
      </c>
      <c r="Q58" s="155">
        <f t="shared" si="58"/>
        <v>6547</v>
      </c>
      <c r="R58" s="136">
        <f>42+39+30+36</f>
        <v>147</v>
      </c>
      <c r="S58" s="136">
        <f>0+0+0+0</f>
        <v>0</v>
      </c>
      <c r="T58" s="136">
        <f>10+15+10+20</f>
        <v>55</v>
      </c>
      <c r="U58" s="141">
        <f t="shared" si="59"/>
        <v>4703</v>
      </c>
      <c r="V58" s="155">
        <f t="shared" si="70"/>
        <v>1844</v>
      </c>
      <c r="W58" s="210"/>
      <c r="X58" s="163">
        <f t="shared" si="60"/>
        <v>74</v>
      </c>
      <c r="Y58" s="155">
        <f t="shared" si="61"/>
        <v>2758</v>
      </c>
      <c r="Z58" s="136">
        <f>14+6+5+23</f>
        <v>48</v>
      </c>
      <c r="AA58" s="136">
        <f>0+0+0+2</f>
        <v>2</v>
      </c>
      <c r="AB58" s="136">
        <f>7+7+4+6</f>
        <v>24</v>
      </c>
      <c r="AC58" s="141">
        <f t="shared" si="62"/>
        <v>1911</v>
      </c>
      <c r="AD58" s="141">
        <f t="shared" si="71"/>
        <v>847</v>
      </c>
      <c r="AE58" s="163">
        <f t="shared" si="63"/>
        <v>476</v>
      </c>
      <c r="AF58" s="155">
        <f t="shared" si="64"/>
        <v>16460</v>
      </c>
      <c r="AG58" s="141">
        <f t="shared" si="72"/>
        <v>323</v>
      </c>
      <c r="AH58" s="141">
        <f t="shared" si="65"/>
        <v>6</v>
      </c>
      <c r="AI58" s="141">
        <f t="shared" si="73"/>
        <v>147</v>
      </c>
      <c r="AJ58" s="141">
        <f t="shared" si="66"/>
        <v>11617</v>
      </c>
      <c r="AK58" s="141">
        <f t="shared" si="74"/>
        <v>4843</v>
      </c>
    </row>
    <row r="59" spans="1:39" s="194" customFormat="1" x14ac:dyDescent="0.2">
      <c r="A59" s="150">
        <v>2020</v>
      </c>
      <c r="B59" s="209">
        <f t="shared" si="52"/>
        <v>116</v>
      </c>
      <c r="C59" s="155">
        <f t="shared" si="67"/>
        <v>3919</v>
      </c>
      <c r="D59" s="141">
        <f>27+9+24+17</f>
        <v>77</v>
      </c>
      <c r="E59" s="141">
        <f>3+0+5+1</f>
        <v>9</v>
      </c>
      <c r="F59" s="141">
        <f>10+6+5+9</f>
        <v>30</v>
      </c>
      <c r="G59" s="141">
        <f t="shared" si="53"/>
        <v>2634</v>
      </c>
      <c r="H59" s="141">
        <f t="shared" si="68"/>
        <v>1285</v>
      </c>
      <c r="I59" s="163">
        <f t="shared" si="54"/>
        <v>95</v>
      </c>
      <c r="J59" s="155">
        <f t="shared" si="55"/>
        <v>3447</v>
      </c>
      <c r="K59" s="136">
        <f>17+7+24+14</f>
        <v>62</v>
      </c>
      <c r="L59" s="136">
        <f>3+0+3+1</f>
        <v>7</v>
      </c>
      <c r="M59" s="136">
        <f>8+3+5+10</f>
        <v>26</v>
      </c>
      <c r="N59" s="141">
        <f t="shared" si="56"/>
        <v>2524</v>
      </c>
      <c r="O59" s="141">
        <f t="shared" si="69"/>
        <v>923</v>
      </c>
      <c r="P59" s="163">
        <f t="shared" si="57"/>
        <v>159</v>
      </c>
      <c r="Q59" s="155">
        <f t="shared" si="58"/>
        <v>6706</v>
      </c>
      <c r="R59" s="136">
        <f>27+29+35+21</f>
        <v>112</v>
      </c>
      <c r="S59" s="136">
        <f>1+1+2+0</f>
        <v>4</v>
      </c>
      <c r="T59" s="136">
        <f>18+2+8+15</f>
        <v>43</v>
      </c>
      <c r="U59" s="141">
        <f t="shared" si="59"/>
        <v>4819</v>
      </c>
      <c r="V59" s="155">
        <f t="shared" si="70"/>
        <v>1887</v>
      </c>
      <c r="W59" s="193"/>
      <c r="X59" s="163">
        <f t="shared" si="60"/>
        <v>59</v>
      </c>
      <c r="Y59" s="155">
        <f t="shared" si="61"/>
        <v>2817</v>
      </c>
      <c r="Z59" s="136">
        <f>11+9+10+10</f>
        <v>40</v>
      </c>
      <c r="AA59" s="136">
        <f>1+1+0+0</f>
        <v>2</v>
      </c>
      <c r="AB59" s="136">
        <f>4+4+3+6</f>
        <v>17</v>
      </c>
      <c r="AC59" s="141">
        <f t="shared" si="62"/>
        <v>1953</v>
      </c>
      <c r="AD59" s="141">
        <f t="shared" si="71"/>
        <v>864</v>
      </c>
      <c r="AE59" s="163">
        <f t="shared" si="63"/>
        <v>429</v>
      </c>
      <c r="AF59" s="155">
        <f t="shared" si="64"/>
        <v>16889</v>
      </c>
      <c r="AG59" s="141">
        <f t="shared" si="72"/>
        <v>291</v>
      </c>
      <c r="AH59" s="141">
        <f t="shared" si="65"/>
        <v>22</v>
      </c>
      <c r="AI59" s="141">
        <f t="shared" si="73"/>
        <v>116</v>
      </c>
      <c r="AJ59" s="141">
        <f t="shared" si="66"/>
        <v>11930</v>
      </c>
      <c r="AK59" s="141">
        <f t="shared" si="74"/>
        <v>4959</v>
      </c>
    </row>
    <row r="60" spans="1:39" s="194" customFormat="1" x14ac:dyDescent="0.2">
      <c r="A60" s="150">
        <v>2021</v>
      </c>
      <c r="B60" s="209">
        <f t="shared" si="52"/>
        <v>118</v>
      </c>
      <c r="C60" s="155">
        <f t="shared" si="67"/>
        <v>4037</v>
      </c>
      <c r="D60" s="141">
        <f>23+13+14+16</f>
        <v>66</v>
      </c>
      <c r="E60" s="141">
        <f>5+4+4+6</f>
        <v>19</v>
      </c>
      <c r="F60" s="141">
        <f>10+12+3+8</f>
        <v>33</v>
      </c>
      <c r="G60" s="141">
        <f t="shared" si="53"/>
        <v>2719</v>
      </c>
      <c r="H60" s="141">
        <f t="shared" si="68"/>
        <v>1318</v>
      </c>
      <c r="I60" s="163">
        <f t="shared" si="54"/>
        <v>98</v>
      </c>
      <c r="J60" s="155">
        <f t="shared" si="55"/>
        <v>3545</v>
      </c>
      <c r="K60" s="136">
        <f>14+9+16+13</f>
        <v>52</v>
      </c>
      <c r="L60" s="136">
        <f>5+3+4+4</f>
        <v>16</v>
      </c>
      <c r="M60" s="136">
        <f>8+8+5+9</f>
        <v>30</v>
      </c>
      <c r="N60" s="141">
        <f t="shared" si="56"/>
        <v>2592</v>
      </c>
      <c r="O60" s="141">
        <f t="shared" si="69"/>
        <v>953</v>
      </c>
      <c r="P60" s="163">
        <f t="shared" si="57"/>
        <v>147</v>
      </c>
      <c r="Q60" s="155">
        <f t="shared" si="58"/>
        <v>6853</v>
      </c>
      <c r="R60" s="136">
        <f>26+22+20+33</f>
        <v>101</v>
      </c>
      <c r="S60" s="136">
        <f>0+3+1+4</f>
        <v>8</v>
      </c>
      <c r="T60" s="136">
        <f>5+10+8+15</f>
        <v>38</v>
      </c>
      <c r="U60" s="141">
        <f t="shared" si="59"/>
        <v>4928</v>
      </c>
      <c r="V60" s="155">
        <f t="shared" si="70"/>
        <v>1925</v>
      </c>
      <c r="W60" s="193"/>
      <c r="X60" s="163">
        <f t="shared" si="60"/>
        <v>82</v>
      </c>
      <c r="Y60" s="155">
        <f t="shared" si="61"/>
        <v>2899</v>
      </c>
      <c r="Z60" s="136">
        <f>15+15+13+17</f>
        <v>60</v>
      </c>
      <c r="AA60" s="136">
        <f>2+2+0+1</f>
        <v>5</v>
      </c>
      <c r="AB60" s="136">
        <f>5+4+3+5</f>
        <v>17</v>
      </c>
      <c r="AC60" s="141">
        <f t="shared" si="62"/>
        <v>2018</v>
      </c>
      <c r="AD60" s="141">
        <f t="shared" si="71"/>
        <v>881</v>
      </c>
      <c r="AE60" s="163">
        <f t="shared" si="63"/>
        <v>445</v>
      </c>
      <c r="AF60" s="155">
        <f t="shared" si="64"/>
        <v>17334</v>
      </c>
      <c r="AG60" s="141">
        <f t="shared" si="72"/>
        <v>279</v>
      </c>
      <c r="AH60" s="141">
        <f t="shared" si="65"/>
        <v>48</v>
      </c>
      <c r="AI60" s="141">
        <f t="shared" si="73"/>
        <v>118</v>
      </c>
      <c r="AJ60" s="141">
        <f t="shared" si="66"/>
        <v>12257</v>
      </c>
      <c r="AK60" s="141">
        <f t="shared" si="74"/>
        <v>5077</v>
      </c>
    </row>
    <row r="61" spans="1:39" s="194" customFormat="1" x14ac:dyDescent="0.2">
      <c r="A61" s="150">
        <v>2022</v>
      </c>
      <c r="B61" s="192">
        <f t="shared" si="52"/>
        <v>120</v>
      </c>
      <c r="C61" s="179">
        <f t="shared" si="67"/>
        <v>4157</v>
      </c>
      <c r="D61" s="181">
        <f>12+19+20+16</f>
        <v>67</v>
      </c>
      <c r="E61" s="181">
        <f>9+7+4+8</f>
        <v>28</v>
      </c>
      <c r="F61" s="181">
        <f>7+10+4+4</f>
        <v>25</v>
      </c>
      <c r="G61" s="181">
        <f t="shared" si="53"/>
        <v>2814</v>
      </c>
      <c r="H61" s="181">
        <f t="shared" si="68"/>
        <v>1343</v>
      </c>
      <c r="I61" s="182">
        <f t="shared" si="54"/>
        <v>95</v>
      </c>
      <c r="J61" s="179">
        <f t="shared" si="55"/>
        <v>3640</v>
      </c>
      <c r="K61" s="180">
        <f>11+14+17+10</f>
        <v>52</v>
      </c>
      <c r="L61" s="180">
        <f>7+3+3+4</f>
        <v>17</v>
      </c>
      <c r="M61" s="180">
        <f>7+8+3+8</f>
        <v>26</v>
      </c>
      <c r="N61" s="181">
        <f t="shared" si="56"/>
        <v>2661</v>
      </c>
      <c r="O61" s="181">
        <f t="shared" si="69"/>
        <v>979</v>
      </c>
      <c r="P61" s="182">
        <f t="shared" si="57"/>
        <v>174</v>
      </c>
      <c r="Q61" s="179">
        <f t="shared" si="58"/>
        <v>7027</v>
      </c>
      <c r="R61" s="180">
        <f>26+30+28+27</f>
        <v>111</v>
      </c>
      <c r="S61" s="180">
        <f>5+9+3+12</f>
        <v>29</v>
      </c>
      <c r="T61" s="180">
        <f>7+15+5+7</f>
        <v>34</v>
      </c>
      <c r="U61" s="181">
        <f t="shared" si="59"/>
        <v>5068</v>
      </c>
      <c r="V61" s="179">
        <f t="shared" si="70"/>
        <v>1959</v>
      </c>
      <c r="W61" s="193"/>
      <c r="X61" s="182">
        <f t="shared" si="60"/>
        <v>76</v>
      </c>
      <c r="Y61" s="179">
        <f t="shared" si="61"/>
        <v>2975</v>
      </c>
      <c r="Z61" s="180">
        <f>15+10+15+13</f>
        <v>53</v>
      </c>
      <c r="AA61" s="180">
        <f>2+3+4+0</f>
        <v>9</v>
      </c>
      <c r="AB61" s="180">
        <f>5+1+2+6</f>
        <v>14</v>
      </c>
      <c r="AC61" s="181">
        <f t="shared" si="62"/>
        <v>2080</v>
      </c>
      <c r="AD61" s="181">
        <f t="shared" si="71"/>
        <v>895</v>
      </c>
      <c r="AE61" s="182">
        <f t="shared" si="63"/>
        <v>465</v>
      </c>
      <c r="AF61" s="179">
        <f t="shared" si="64"/>
        <v>17799</v>
      </c>
      <c r="AG61" s="181">
        <f t="shared" si="72"/>
        <v>283</v>
      </c>
      <c r="AH61" s="181">
        <f t="shared" si="65"/>
        <v>83</v>
      </c>
      <c r="AI61" s="181">
        <f t="shared" si="73"/>
        <v>99</v>
      </c>
      <c r="AJ61" s="181">
        <f t="shared" si="66"/>
        <v>12623</v>
      </c>
      <c r="AK61" s="181">
        <f t="shared" si="74"/>
        <v>5176</v>
      </c>
    </row>
    <row r="62" spans="1:39" s="194" customFormat="1" x14ac:dyDescent="0.2">
      <c r="A62" s="150">
        <v>2023</v>
      </c>
      <c r="B62" s="192">
        <f>D62+E62+F62</f>
        <v>147</v>
      </c>
      <c r="C62" s="179">
        <f t="shared" si="67"/>
        <v>4304</v>
      </c>
      <c r="D62" s="181">
        <f>19+22+17+20</f>
        <v>78</v>
      </c>
      <c r="E62" s="181">
        <f>14+8+5+11</f>
        <v>38</v>
      </c>
      <c r="F62" s="181">
        <f>11+8+3+9</f>
        <v>31</v>
      </c>
      <c r="G62" s="181">
        <f>G61+D62+E62</f>
        <v>2930</v>
      </c>
      <c r="H62" s="181">
        <f t="shared" si="68"/>
        <v>1374</v>
      </c>
      <c r="I62" s="182">
        <f>K62+L62+M62</f>
        <v>126</v>
      </c>
      <c r="J62" s="179">
        <f>J61+I62</f>
        <v>3766</v>
      </c>
      <c r="K62" s="180">
        <f>21+16+15+20</f>
        <v>72</v>
      </c>
      <c r="L62" s="180">
        <f>6+7+5+8</f>
        <v>26</v>
      </c>
      <c r="M62" s="180">
        <f>9+7+3+9</f>
        <v>28</v>
      </c>
      <c r="N62" s="181">
        <f>N61+K62+L62</f>
        <v>2759</v>
      </c>
      <c r="O62" s="181">
        <f t="shared" si="69"/>
        <v>1007</v>
      </c>
      <c r="P62" s="182">
        <f>R62+S62+T62</f>
        <v>182</v>
      </c>
      <c r="Q62" s="179">
        <f>Q61+P62</f>
        <v>7209</v>
      </c>
      <c r="R62" s="180">
        <f>32+32+27+33</f>
        <v>124</v>
      </c>
      <c r="S62" s="180">
        <f>5+12+1+13</f>
        <v>31</v>
      </c>
      <c r="T62" s="180">
        <f>5+9+3+10</f>
        <v>27</v>
      </c>
      <c r="U62" s="181">
        <f>U61+R62+S62</f>
        <v>5223</v>
      </c>
      <c r="V62" s="179">
        <f t="shared" si="70"/>
        <v>1986</v>
      </c>
      <c r="W62" s="193"/>
      <c r="X62" s="182">
        <f>Z62+AA62+AB62</f>
        <v>68</v>
      </c>
      <c r="Y62" s="179">
        <f>Y61+X62</f>
        <v>3043</v>
      </c>
      <c r="Z62" s="180">
        <f>6+6+13+9</f>
        <v>34</v>
      </c>
      <c r="AA62" s="180">
        <f>4+4+4+8</f>
        <v>20</v>
      </c>
      <c r="AB62" s="180">
        <f>5+3+2+4</f>
        <v>14</v>
      </c>
      <c r="AC62" s="181">
        <f>AC61+Z62+AA62</f>
        <v>2134</v>
      </c>
      <c r="AD62" s="181">
        <f t="shared" si="71"/>
        <v>909</v>
      </c>
      <c r="AE62" s="182">
        <f>AG62+AH62+AI62</f>
        <v>523</v>
      </c>
      <c r="AF62" s="179">
        <f>AF61+AE62</f>
        <v>18322</v>
      </c>
      <c r="AG62" s="181">
        <f t="shared" si="72"/>
        <v>308</v>
      </c>
      <c r="AH62" s="181">
        <f>E62+L62+S62+AA62</f>
        <v>115</v>
      </c>
      <c r="AI62" s="181">
        <f t="shared" si="73"/>
        <v>100</v>
      </c>
      <c r="AJ62" s="181">
        <f>AJ61+AG62+AH62</f>
        <v>13046</v>
      </c>
      <c r="AK62" s="181">
        <f t="shared" si="74"/>
        <v>5276</v>
      </c>
    </row>
    <row r="63" spans="1:39" s="67" customFormat="1" x14ac:dyDescent="0.2">
      <c r="A63" s="221">
        <v>2024</v>
      </c>
      <c r="B63" s="192">
        <f>D63+E63+F63</f>
        <v>132</v>
      </c>
      <c r="C63" s="179">
        <f t="shared" si="67"/>
        <v>4436</v>
      </c>
      <c r="D63" s="54">
        <f>13+19+10+23</f>
        <v>65</v>
      </c>
      <c r="E63" s="54">
        <f>12+3+11+9</f>
        <v>35</v>
      </c>
      <c r="F63" s="54">
        <f>11+10+2+9</f>
        <v>32</v>
      </c>
      <c r="G63" s="181">
        <f>G62+D63+E63</f>
        <v>3030</v>
      </c>
      <c r="H63" s="181">
        <f t="shared" si="68"/>
        <v>1406</v>
      </c>
      <c r="I63" s="182">
        <f>K63+L63+M63</f>
        <v>107</v>
      </c>
      <c r="J63" s="179">
        <f>J62+I63</f>
        <v>3873</v>
      </c>
      <c r="K63" s="62">
        <f>11+16+10+18</f>
        <v>55</v>
      </c>
      <c r="L63" s="62">
        <f>6+5+7+6</f>
        <v>24</v>
      </c>
      <c r="M63" s="62">
        <f>8+5+5+10</f>
        <v>28</v>
      </c>
      <c r="N63" s="181">
        <f>N62+K63+L63</f>
        <v>2838</v>
      </c>
      <c r="O63" s="181">
        <f t="shared" si="69"/>
        <v>1035</v>
      </c>
      <c r="P63" s="182">
        <f>R63+S63+T63</f>
        <v>192</v>
      </c>
      <c r="Q63" s="179">
        <f>Q62+P63</f>
        <v>7401</v>
      </c>
      <c r="R63" s="62">
        <f>23+28+40+34</f>
        <v>125</v>
      </c>
      <c r="S63" s="402">
        <f>7+12+6+9</f>
        <v>34</v>
      </c>
      <c r="T63" s="62">
        <f>7+12+4+10</f>
        <v>33</v>
      </c>
      <c r="U63" s="181">
        <f>U62+R63+S63</f>
        <v>5382</v>
      </c>
      <c r="V63" s="179">
        <f t="shared" si="70"/>
        <v>2019</v>
      </c>
      <c r="W63" s="73"/>
      <c r="X63" s="182">
        <f>Z63+AA63+AB63</f>
        <v>81</v>
      </c>
      <c r="Y63" s="179">
        <f>Y62+X63</f>
        <v>3124</v>
      </c>
      <c r="Z63" s="62">
        <f>10+11+21+8</f>
        <v>50</v>
      </c>
      <c r="AA63" s="62">
        <f>0+5+3+5</f>
        <v>13</v>
      </c>
      <c r="AB63" s="62">
        <f>5+4+2+7</f>
        <v>18</v>
      </c>
      <c r="AC63" s="181">
        <f>AC62+Z63+AA63</f>
        <v>2197</v>
      </c>
      <c r="AD63" s="181">
        <f t="shared" si="71"/>
        <v>927</v>
      </c>
      <c r="AE63" s="182">
        <f>AG63+AH63+AI63</f>
        <v>512</v>
      </c>
      <c r="AF63" s="179">
        <f>AF62+AE63</f>
        <v>18834</v>
      </c>
      <c r="AG63" s="181">
        <f t="shared" si="72"/>
        <v>295</v>
      </c>
      <c r="AH63" s="181">
        <f>E63+L63+S63+AA63</f>
        <v>106</v>
      </c>
      <c r="AI63" s="181">
        <f t="shared" si="73"/>
        <v>111</v>
      </c>
      <c r="AJ63" s="181">
        <f>AJ62+AG63+AH63</f>
        <v>13447</v>
      </c>
      <c r="AK63" s="181">
        <f t="shared" si="74"/>
        <v>5387</v>
      </c>
    </row>
    <row r="64" spans="1:39" s="67" customFormat="1" x14ac:dyDescent="0.2">
      <c r="A64" s="17">
        <v>2025</v>
      </c>
      <c r="B64" s="51"/>
      <c r="C64" s="54"/>
      <c r="D64" s="54"/>
      <c r="E64" s="54"/>
      <c r="F64" s="54"/>
      <c r="G64" s="54"/>
      <c r="H64" s="53"/>
      <c r="I64" s="63"/>
      <c r="J64" s="62"/>
      <c r="K64" s="62"/>
      <c r="L64" s="62"/>
      <c r="M64" s="62"/>
      <c r="N64" s="62"/>
      <c r="O64" s="71"/>
      <c r="P64" s="63"/>
      <c r="Q64" s="62"/>
      <c r="R64" s="62"/>
      <c r="S64" s="62"/>
      <c r="T64" s="62"/>
      <c r="U64" s="62"/>
      <c r="V64" s="72"/>
      <c r="W64" s="73"/>
      <c r="X64" s="64"/>
      <c r="Y64" s="62"/>
      <c r="Z64" s="62"/>
      <c r="AA64" s="62"/>
      <c r="AB64" s="62"/>
      <c r="AC64" s="62"/>
      <c r="AD64" s="71"/>
      <c r="AE64" s="63"/>
      <c r="AF64" s="62"/>
      <c r="AG64" s="62"/>
      <c r="AH64" s="62"/>
      <c r="AI64" s="62"/>
      <c r="AJ64" s="62"/>
      <c r="AK64" s="62"/>
    </row>
    <row r="65" spans="1:37" s="67" customFormat="1" x14ac:dyDescent="0.2">
      <c r="A65" s="17">
        <v>2026</v>
      </c>
      <c r="B65" s="51"/>
      <c r="C65" s="54"/>
      <c r="D65" s="54"/>
      <c r="E65" s="54"/>
      <c r="F65" s="54"/>
      <c r="G65" s="54"/>
      <c r="H65" s="53"/>
      <c r="I65" s="63"/>
      <c r="J65" s="62"/>
      <c r="K65" s="62"/>
      <c r="L65" s="62"/>
      <c r="M65" s="62"/>
      <c r="N65" s="62"/>
      <c r="O65" s="71"/>
      <c r="P65" s="63"/>
      <c r="Q65" s="62"/>
      <c r="R65" s="62"/>
      <c r="S65" s="62"/>
      <c r="T65" s="62"/>
      <c r="U65" s="62"/>
      <c r="V65" s="72"/>
      <c r="W65" s="73"/>
      <c r="X65" s="64"/>
      <c r="Y65" s="62"/>
      <c r="Z65" s="62"/>
      <c r="AA65" s="62"/>
      <c r="AB65" s="62"/>
      <c r="AC65" s="62"/>
      <c r="AD65" s="71"/>
      <c r="AE65" s="63"/>
      <c r="AF65" s="62"/>
      <c r="AG65" s="62"/>
      <c r="AH65" s="62"/>
      <c r="AI65" s="62"/>
      <c r="AJ65" s="62"/>
      <c r="AK65" s="62"/>
    </row>
    <row r="66" spans="1:37" s="67" customFormat="1" x14ac:dyDescent="0.2">
      <c r="A66" s="17">
        <v>2027</v>
      </c>
      <c r="B66" s="51"/>
      <c r="C66" s="54"/>
      <c r="D66" s="54"/>
      <c r="E66" s="54"/>
      <c r="F66" s="54"/>
      <c r="G66" s="54"/>
      <c r="H66" s="53"/>
      <c r="I66" s="63"/>
      <c r="J66" s="62"/>
      <c r="K66" s="62"/>
      <c r="L66" s="62"/>
      <c r="M66" s="62"/>
      <c r="N66" s="62"/>
      <c r="O66" s="71"/>
      <c r="P66" s="63"/>
      <c r="Q66" s="62"/>
      <c r="R66" s="62"/>
      <c r="S66" s="62"/>
      <c r="T66" s="62"/>
      <c r="U66" s="62"/>
      <c r="V66" s="72"/>
      <c r="W66" s="73"/>
      <c r="X66" s="64"/>
      <c r="Y66" s="62"/>
      <c r="Z66" s="62"/>
      <c r="AA66" s="62"/>
      <c r="AB66" s="62"/>
      <c r="AC66" s="62"/>
      <c r="AD66" s="71"/>
      <c r="AE66" s="63"/>
      <c r="AF66" s="62"/>
      <c r="AG66" s="62"/>
      <c r="AH66" s="62"/>
      <c r="AI66" s="62"/>
      <c r="AJ66" s="62"/>
      <c r="AK66" s="62"/>
    </row>
    <row r="67" spans="1:37" s="67" customFormat="1" x14ac:dyDescent="0.2">
      <c r="A67" s="17">
        <v>2028</v>
      </c>
      <c r="B67" s="51"/>
      <c r="C67" s="54"/>
      <c r="D67" s="54"/>
      <c r="E67" s="54"/>
      <c r="F67" s="54"/>
      <c r="G67" s="54"/>
      <c r="H67" s="53"/>
      <c r="I67" s="63"/>
      <c r="J67" s="62"/>
      <c r="K67" s="62"/>
      <c r="L67" s="62"/>
      <c r="M67" s="62"/>
      <c r="N67" s="62"/>
      <c r="O67" s="71"/>
      <c r="P67" s="63"/>
      <c r="Q67" s="62"/>
      <c r="R67" s="62"/>
      <c r="S67" s="62"/>
      <c r="T67" s="62"/>
      <c r="U67" s="62"/>
      <c r="V67" s="72"/>
      <c r="W67" s="73"/>
      <c r="X67" s="64"/>
      <c r="Y67" s="62"/>
      <c r="Z67" s="62"/>
      <c r="AA67" s="62"/>
      <c r="AB67" s="62"/>
      <c r="AC67" s="62"/>
      <c r="AD67" s="71"/>
      <c r="AE67" s="63"/>
      <c r="AF67" s="62"/>
      <c r="AG67" s="62"/>
      <c r="AH67" s="62"/>
      <c r="AI67" s="62"/>
      <c r="AJ67" s="62"/>
      <c r="AK67" s="62"/>
    </row>
    <row r="68" spans="1:37" s="67" customFormat="1" x14ac:dyDescent="0.2">
      <c r="A68" s="17">
        <v>2029</v>
      </c>
      <c r="B68" s="51"/>
      <c r="C68" s="54"/>
      <c r="D68" s="54"/>
      <c r="E68" s="54"/>
      <c r="F68" s="54"/>
      <c r="G68" s="54"/>
      <c r="H68" s="53"/>
      <c r="I68" s="63"/>
      <c r="J68" s="62"/>
      <c r="K68" s="62"/>
      <c r="L68" s="62"/>
      <c r="M68" s="62"/>
      <c r="N68" s="62"/>
      <c r="O68" s="71"/>
      <c r="P68" s="63"/>
      <c r="Q68" s="62"/>
      <c r="R68" s="62"/>
      <c r="S68" s="62"/>
      <c r="T68" s="62"/>
      <c r="U68" s="62"/>
      <c r="V68" s="72"/>
      <c r="W68" s="73"/>
      <c r="X68" s="64"/>
      <c r="Y68" s="62"/>
      <c r="Z68" s="62"/>
      <c r="AA68" s="62"/>
      <c r="AB68" s="62"/>
      <c r="AC68" s="62"/>
      <c r="AD68" s="71"/>
      <c r="AE68" s="63"/>
      <c r="AF68" s="62"/>
      <c r="AG68" s="62"/>
      <c r="AH68" s="62"/>
      <c r="AI68" s="62"/>
      <c r="AJ68" s="62"/>
      <c r="AK68" s="62"/>
    </row>
    <row r="69" spans="1:37" s="67" customFormat="1" x14ac:dyDescent="0.2">
      <c r="A69" s="17">
        <v>2030</v>
      </c>
      <c r="B69" s="51"/>
      <c r="C69" s="54"/>
      <c r="D69" s="54"/>
      <c r="E69" s="54"/>
      <c r="F69" s="54"/>
      <c r="G69" s="54"/>
      <c r="H69" s="53"/>
      <c r="I69" s="63"/>
      <c r="J69" s="62"/>
      <c r="K69" s="62"/>
      <c r="L69" s="62"/>
      <c r="M69" s="62"/>
      <c r="N69" s="62"/>
      <c r="O69" s="71"/>
      <c r="P69" s="63"/>
      <c r="Q69" s="62"/>
      <c r="R69" s="62"/>
      <c r="S69" s="62"/>
      <c r="T69" s="62"/>
      <c r="U69" s="62"/>
      <c r="V69" s="72"/>
      <c r="W69" s="73"/>
      <c r="X69" s="64"/>
      <c r="Y69" s="62"/>
      <c r="Z69" s="62"/>
      <c r="AA69" s="62"/>
      <c r="AB69" s="62"/>
      <c r="AC69" s="62"/>
      <c r="AD69" s="71"/>
      <c r="AE69" s="63"/>
      <c r="AF69" s="62"/>
      <c r="AG69" s="62"/>
      <c r="AH69" s="62"/>
      <c r="AI69" s="62"/>
      <c r="AJ69" s="62"/>
      <c r="AK69" s="62"/>
    </row>
    <row r="70" spans="1:37" s="67" customFormat="1" x14ac:dyDescent="0.2">
      <c r="A70" s="17"/>
      <c r="B70" s="51"/>
      <c r="C70" s="54"/>
      <c r="D70" s="54"/>
      <c r="E70" s="54"/>
      <c r="F70" s="54"/>
      <c r="G70" s="54"/>
      <c r="H70" s="53"/>
      <c r="I70" s="63"/>
      <c r="J70" s="62"/>
      <c r="K70" s="62"/>
      <c r="L70" s="62"/>
      <c r="M70" s="62"/>
      <c r="N70" s="62"/>
      <c r="O70" s="71"/>
      <c r="P70" s="63"/>
      <c r="Q70" s="62"/>
      <c r="R70" s="62"/>
      <c r="S70" s="62"/>
      <c r="T70" s="62"/>
      <c r="U70" s="62"/>
      <c r="V70" s="72"/>
      <c r="W70" s="73"/>
      <c r="X70" s="64"/>
      <c r="Y70" s="62"/>
      <c r="Z70" s="62"/>
      <c r="AA70" s="62"/>
      <c r="AB70" s="62"/>
      <c r="AC70" s="62"/>
      <c r="AD70" s="71"/>
      <c r="AE70" s="63"/>
      <c r="AF70" s="62"/>
      <c r="AG70" s="62"/>
      <c r="AH70" s="62"/>
      <c r="AI70" s="62"/>
      <c r="AJ70" s="62"/>
      <c r="AK70" s="62"/>
    </row>
    <row r="71" spans="1:37" s="67" customFormat="1" x14ac:dyDescent="0.2">
      <c r="A71" s="17"/>
      <c r="B71" s="51"/>
      <c r="C71" s="54"/>
      <c r="D71" s="54"/>
      <c r="E71" s="54"/>
      <c r="F71" s="54"/>
      <c r="G71" s="54"/>
      <c r="H71" s="53"/>
      <c r="I71" s="63"/>
      <c r="J71" s="62"/>
      <c r="K71" s="62"/>
      <c r="L71" s="62"/>
      <c r="M71" s="62"/>
      <c r="N71" s="62"/>
      <c r="O71" s="71"/>
      <c r="P71" s="63"/>
      <c r="Q71" s="62"/>
      <c r="R71" s="62"/>
      <c r="S71" s="62"/>
      <c r="T71" s="62"/>
      <c r="U71" s="62"/>
      <c r="V71" s="72"/>
      <c r="W71" s="73"/>
      <c r="X71" s="64"/>
      <c r="Y71" s="62"/>
      <c r="Z71" s="62"/>
      <c r="AA71" s="62"/>
      <c r="AB71" s="62"/>
      <c r="AC71" s="62"/>
      <c r="AD71" s="71"/>
      <c r="AE71" s="63"/>
      <c r="AF71" s="62"/>
      <c r="AG71" s="62"/>
      <c r="AH71" s="62"/>
      <c r="AI71" s="62"/>
      <c r="AJ71" s="62"/>
      <c r="AK71" s="62"/>
    </row>
    <row r="72" spans="1:37" s="67" customFormat="1" x14ac:dyDescent="0.2">
      <c r="A72" s="18"/>
      <c r="B72" s="55"/>
      <c r="C72" s="58"/>
      <c r="D72" s="58"/>
      <c r="E72" s="58"/>
      <c r="F72" s="58"/>
      <c r="G72" s="58"/>
      <c r="H72" s="57"/>
      <c r="I72" s="74"/>
      <c r="J72" s="75"/>
      <c r="K72" s="75"/>
      <c r="L72" s="75"/>
      <c r="M72" s="75"/>
      <c r="N72" s="75"/>
      <c r="O72" s="76"/>
      <c r="P72" s="74"/>
      <c r="Q72" s="75"/>
      <c r="R72" s="75"/>
      <c r="S72" s="75"/>
      <c r="T72" s="75"/>
      <c r="U72" s="75"/>
      <c r="V72" s="77"/>
      <c r="W72" s="78"/>
      <c r="X72" s="79"/>
      <c r="Y72" s="75"/>
      <c r="Z72" s="75"/>
      <c r="AA72" s="75"/>
      <c r="AB72" s="75"/>
      <c r="AC72" s="75"/>
      <c r="AD72" s="76"/>
      <c r="AE72" s="74"/>
      <c r="AF72" s="75"/>
      <c r="AG72" s="75"/>
      <c r="AH72" s="75"/>
      <c r="AI72" s="75"/>
      <c r="AJ72" s="75"/>
      <c r="AK72" s="75"/>
    </row>
    <row r="73" spans="1:37" s="67" customFormat="1" x14ac:dyDescent="0.2">
      <c r="A73" s="1"/>
      <c r="B73" s="80"/>
      <c r="C73" s="80"/>
      <c r="D73" s="80"/>
      <c r="E73" s="80"/>
      <c r="F73" s="80"/>
      <c r="G73" s="80"/>
      <c r="H73" s="80"/>
      <c r="AI73" s="70"/>
    </row>
    <row r="74" spans="1:37" s="67" customFormat="1" x14ac:dyDescent="0.2">
      <c r="A74" s="1"/>
      <c r="B74" s="80"/>
      <c r="C74" s="80"/>
      <c r="D74" s="80"/>
      <c r="E74" s="80"/>
      <c r="F74" s="80"/>
      <c r="G74" s="80"/>
      <c r="H74" s="80"/>
      <c r="AI74" s="70"/>
    </row>
    <row r="75" spans="1:37" s="67" customFormat="1" x14ac:dyDescent="0.2">
      <c r="A75" s="1"/>
      <c r="B75" s="80"/>
      <c r="C75" s="80"/>
      <c r="D75" s="80"/>
      <c r="E75" s="80"/>
      <c r="F75" s="80"/>
      <c r="G75" s="80"/>
      <c r="H75" s="80"/>
      <c r="AI75" s="70"/>
    </row>
    <row r="76" spans="1:37" s="67" customFormat="1" x14ac:dyDescent="0.2">
      <c r="A76" s="1"/>
      <c r="B76" s="80"/>
      <c r="C76" s="80"/>
      <c r="D76" s="80"/>
      <c r="E76" s="80"/>
      <c r="F76" s="80"/>
      <c r="G76" s="80"/>
      <c r="H76" s="80"/>
      <c r="AI76" s="70"/>
    </row>
    <row r="77" spans="1:37" s="67" customFormat="1" x14ac:dyDescent="0.2">
      <c r="A77" s="1"/>
      <c r="B77" s="80"/>
      <c r="C77" s="80"/>
      <c r="D77" s="80"/>
      <c r="E77" s="80"/>
      <c r="F77" s="80"/>
      <c r="G77" s="80"/>
      <c r="H77" s="80"/>
      <c r="AI77" s="70"/>
    </row>
    <row r="78" spans="1:37" s="67" customFormat="1" x14ac:dyDescent="0.2">
      <c r="A78" s="1"/>
      <c r="AI78" s="70"/>
    </row>
    <row r="79" spans="1:37" s="67" customFormat="1" x14ac:dyDescent="0.2">
      <c r="A79" s="1"/>
      <c r="AI79" s="70"/>
    </row>
    <row r="80" spans="1:37" s="67" customFormat="1" x14ac:dyDescent="0.2">
      <c r="A80" s="1"/>
      <c r="AI80" s="70"/>
    </row>
    <row r="81" spans="1:35" s="67" customFormat="1" x14ac:dyDescent="0.2">
      <c r="A81" s="1"/>
      <c r="AI81" s="70"/>
    </row>
    <row r="82" spans="1:35" s="67" customFormat="1" x14ac:dyDescent="0.2">
      <c r="A82" s="1"/>
      <c r="AI82" s="70"/>
    </row>
    <row r="83" spans="1:35" s="67" customFormat="1" x14ac:dyDescent="0.2">
      <c r="A83" s="1"/>
      <c r="AI83" s="70"/>
    </row>
    <row r="84" spans="1:35" s="67" customFormat="1" x14ac:dyDescent="0.2">
      <c r="A84" s="1"/>
      <c r="AI84" s="70"/>
    </row>
    <row r="85" spans="1:35" s="67" customFormat="1" x14ac:dyDescent="0.2">
      <c r="A85" s="1"/>
      <c r="AI85" s="70"/>
    </row>
    <row r="86" spans="1:35" s="67" customFormat="1" x14ac:dyDescent="0.2">
      <c r="A86" s="1"/>
      <c r="AI86" s="70"/>
    </row>
    <row r="87" spans="1:35" s="67" customFormat="1" x14ac:dyDescent="0.2">
      <c r="A87" s="1"/>
      <c r="AI87" s="70"/>
    </row>
    <row r="88" spans="1:35" s="67" customFormat="1" x14ac:dyDescent="0.2">
      <c r="A88" s="1"/>
      <c r="AI88" s="70"/>
    </row>
    <row r="89" spans="1:35" s="67" customFormat="1" x14ac:dyDescent="0.2">
      <c r="A89" s="1"/>
      <c r="AI89" s="70"/>
    </row>
    <row r="90" spans="1:35" s="67" customFormat="1" x14ac:dyDescent="0.2">
      <c r="A90" s="1"/>
      <c r="AI90" s="70"/>
    </row>
    <row r="91" spans="1:35" s="67" customFormat="1" x14ac:dyDescent="0.2">
      <c r="A91" s="1"/>
      <c r="AI91" s="70"/>
    </row>
    <row r="92" spans="1:35" s="67" customFormat="1" x14ac:dyDescent="0.2">
      <c r="A92" s="1"/>
      <c r="AI92" s="70"/>
    </row>
    <row r="93" spans="1:35" s="67" customFormat="1" x14ac:dyDescent="0.2">
      <c r="A93" s="1"/>
      <c r="AI93" s="70"/>
    </row>
    <row r="94" spans="1:35" s="67" customFormat="1" x14ac:dyDescent="0.2">
      <c r="A94" s="1"/>
      <c r="AI94" s="70"/>
    </row>
    <row r="95" spans="1:35" s="67" customFormat="1" x14ac:dyDescent="0.2">
      <c r="A95" s="1"/>
      <c r="AI95" s="70"/>
    </row>
    <row r="96" spans="1:35" s="67" customFormat="1" x14ac:dyDescent="0.2">
      <c r="A96" s="1"/>
      <c r="AI96" s="70"/>
    </row>
    <row r="97" spans="35:35" x14ac:dyDescent="0.2">
      <c r="AI97" s="7"/>
    </row>
    <row r="98" spans="35:35" x14ac:dyDescent="0.2">
      <c r="AI98" s="7"/>
    </row>
    <row r="99" spans="35:35" x14ac:dyDescent="0.2">
      <c r="AI99" s="7"/>
    </row>
    <row r="100" spans="35:35" x14ac:dyDescent="0.2">
      <c r="AI100" s="7"/>
    </row>
    <row r="101" spans="35:35" x14ac:dyDescent="0.2">
      <c r="AI101" s="7"/>
    </row>
    <row r="102" spans="35:35" x14ac:dyDescent="0.2">
      <c r="AI102" s="7"/>
    </row>
    <row r="103" spans="35:35" x14ac:dyDescent="0.2">
      <c r="AI103" s="7"/>
    </row>
    <row r="104" spans="35:35" x14ac:dyDescent="0.2">
      <c r="AI104" s="7"/>
    </row>
    <row r="105" spans="35:35" x14ac:dyDescent="0.2">
      <c r="AI105" s="7"/>
    </row>
    <row r="106" spans="35:35" x14ac:dyDescent="0.2">
      <c r="AI106" s="7"/>
    </row>
    <row r="107" spans="35:35" x14ac:dyDescent="0.2">
      <c r="AI107" s="7"/>
    </row>
    <row r="108" spans="35:35" x14ac:dyDescent="0.2">
      <c r="AI108" s="7"/>
    </row>
    <row r="109" spans="35:35" x14ac:dyDescent="0.2">
      <c r="AI109" s="7"/>
    </row>
    <row r="110" spans="35:35" x14ac:dyDescent="0.2">
      <c r="AI110" s="7"/>
    </row>
    <row r="111" spans="35:35" x14ac:dyDescent="0.2">
      <c r="AI111" s="7"/>
    </row>
    <row r="112" spans="35:35" x14ac:dyDescent="0.2">
      <c r="AI112" s="7"/>
    </row>
    <row r="113" spans="35:35" x14ac:dyDescent="0.2">
      <c r="AI113" s="7"/>
    </row>
    <row r="114" spans="35:35" x14ac:dyDescent="0.2">
      <c r="AI114" s="7"/>
    </row>
    <row r="115" spans="35:35" x14ac:dyDescent="0.2">
      <c r="AI115" s="7"/>
    </row>
    <row r="116" spans="35:35" x14ac:dyDescent="0.2">
      <c r="AI116" s="7"/>
    </row>
    <row r="117" spans="35:35" x14ac:dyDescent="0.2">
      <c r="AI117" s="7"/>
    </row>
    <row r="118" spans="35:35" x14ac:dyDescent="0.2">
      <c r="AI118" s="7"/>
    </row>
    <row r="119" spans="35:35" x14ac:dyDescent="0.2">
      <c r="AI119" s="7"/>
    </row>
    <row r="120" spans="35:35" x14ac:dyDescent="0.2">
      <c r="AI120" s="7"/>
    </row>
    <row r="121" spans="35:35" x14ac:dyDescent="0.2">
      <c r="AI121" s="7"/>
    </row>
    <row r="122" spans="35:35" x14ac:dyDescent="0.2">
      <c r="AI122" s="7"/>
    </row>
    <row r="123" spans="35:35" x14ac:dyDescent="0.2">
      <c r="AI123" s="7"/>
    </row>
    <row r="124" spans="35:35" x14ac:dyDescent="0.2">
      <c r="AI124" s="7"/>
    </row>
    <row r="125" spans="35:35" x14ac:dyDescent="0.2">
      <c r="AI125" s="7"/>
    </row>
    <row r="126" spans="35:35" x14ac:dyDescent="0.2">
      <c r="AI126" s="7"/>
    </row>
    <row r="127" spans="35:35" x14ac:dyDescent="0.2">
      <c r="AI127" s="7"/>
    </row>
    <row r="128" spans="35:35" x14ac:dyDescent="0.2">
      <c r="AI128" s="7"/>
    </row>
    <row r="129" spans="35:35" x14ac:dyDescent="0.2">
      <c r="AI129" s="7"/>
    </row>
    <row r="130" spans="35:35" x14ac:dyDescent="0.2">
      <c r="AI130" s="7"/>
    </row>
    <row r="131" spans="35:35" x14ac:dyDescent="0.2">
      <c r="AI131" s="7"/>
    </row>
    <row r="132" spans="35:35" x14ac:dyDescent="0.2">
      <c r="AI132" s="7"/>
    </row>
    <row r="133" spans="35:35" x14ac:dyDescent="0.2">
      <c r="AI133" s="7"/>
    </row>
    <row r="134" spans="35:35" x14ac:dyDescent="0.2">
      <c r="AI134" s="7"/>
    </row>
    <row r="135" spans="35:35" x14ac:dyDescent="0.2">
      <c r="AI135" s="7"/>
    </row>
    <row r="136" spans="35:35" x14ac:dyDescent="0.2">
      <c r="AI136" s="7"/>
    </row>
    <row r="137" spans="35:35" x14ac:dyDescent="0.2">
      <c r="AI137" s="7"/>
    </row>
    <row r="138" spans="35:35" x14ac:dyDescent="0.2">
      <c r="AI138" s="7"/>
    </row>
    <row r="139" spans="35:35" x14ac:dyDescent="0.2">
      <c r="AI139" s="7"/>
    </row>
    <row r="140" spans="35:35" x14ac:dyDescent="0.2">
      <c r="AI140" s="7"/>
    </row>
    <row r="141" spans="35:35" x14ac:dyDescent="0.2">
      <c r="AI141" s="7"/>
    </row>
    <row r="142" spans="35:35" x14ac:dyDescent="0.2">
      <c r="AI142" s="7"/>
    </row>
    <row r="143" spans="35:35" x14ac:dyDescent="0.2">
      <c r="AI143" s="7"/>
    </row>
    <row r="144" spans="35:35" x14ac:dyDescent="0.2">
      <c r="AI144" s="7"/>
    </row>
    <row r="145" spans="35:35" x14ac:dyDescent="0.2">
      <c r="AI145" s="7"/>
    </row>
    <row r="146" spans="35:35" x14ac:dyDescent="0.2">
      <c r="AI146" s="7"/>
    </row>
    <row r="147" spans="35:35" x14ac:dyDescent="0.2">
      <c r="AI147" s="7"/>
    </row>
    <row r="148" spans="35:35" x14ac:dyDescent="0.2">
      <c r="AI148" s="7"/>
    </row>
    <row r="149" spans="35:35" x14ac:dyDescent="0.2">
      <c r="AI149" s="7"/>
    </row>
    <row r="150" spans="35:35" x14ac:dyDescent="0.2">
      <c r="AI150" s="7"/>
    </row>
    <row r="151" spans="35:35" x14ac:dyDescent="0.2">
      <c r="AI151" s="7"/>
    </row>
    <row r="152" spans="35:35" x14ac:dyDescent="0.2">
      <c r="AI152" s="7"/>
    </row>
    <row r="153" spans="35:35" x14ac:dyDescent="0.2">
      <c r="AI153" s="7"/>
    </row>
    <row r="154" spans="35:35" x14ac:dyDescent="0.2">
      <c r="AI154" s="7"/>
    </row>
    <row r="155" spans="35:35" x14ac:dyDescent="0.2">
      <c r="AI155" s="7"/>
    </row>
    <row r="156" spans="35:35" x14ac:dyDescent="0.2">
      <c r="AI156" s="7"/>
    </row>
    <row r="157" spans="35:35" x14ac:dyDescent="0.2">
      <c r="AI157" s="7"/>
    </row>
    <row r="158" spans="35:35" x14ac:dyDescent="0.2">
      <c r="AI158" s="7"/>
    </row>
    <row r="159" spans="35:35" x14ac:dyDescent="0.2">
      <c r="AI159" s="7"/>
    </row>
    <row r="160" spans="35:35" x14ac:dyDescent="0.2">
      <c r="AI160" s="7"/>
    </row>
    <row r="161" spans="35:35" x14ac:dyDescent="0.2">
      <c r="AI161" s="7"/>
    </row>
    <row r="162" spans="35:35" x14ac:dyDescent="0.2">
      <c r="AI162" s="7"/>
    </row>
    <row r="163" spans="35:35" x14ac:dyDescent="0.2">
      <c r="AI163" s="7"/>
    </row>
    <row r="164" spans="35:35" x14ac:dyDescent="0.2">
      <c r="AI164" s="7"/>
    </row>
    <row r="165" spans="35:35" x14ac:dyDescent="0.2">
      <c r="AI165" s="7"/>
    </row>
    <row r="166" spans="35:35" x14ac:dyDescent="0.2">
      <c r="AI166" s="7"/>
    </row>
    <row r="167" spans="35:35" x14ac:dyDescent="0.2">
      <c r="AI167" s="7"/>
    </row>
    <row r="168" spans="35:35" x14ac:dyDescent="0.2">
      <c r="AI168" s="7"/>
    </row>
    <row r="169" spans="35:35" x14ac:dyDescent="0.2">
      <c r="AI169" s="7"/>
    </row>
    <row r="170" spans="35:35" x14ac:dyDescent="0.2">
      <c r="AI170" s="7"/>
    </row>
    <row r="171" spans="35:35" x14ac:dyDescent="0.2">
      <c r="AI171" s="7"/>
    </row>
    <row r="172" spans="35:35" x14ac:dyDescent="0.2">
      <c r="AI172" s="7"/>
    </row>
    <row r="173" spans="35:35" x14ac:dyDescent="0.2">
      <c r="AI173" s="7"/>
    </row>
    <row r="174" spans="35:35" x14ac:dyDescent="0.2">
      <c r="AI174" s="7"/>
    </row>
    <row r="175" spans="35:35" x14ac:dyDescent="0.2">
      <c r="AI175" s="7"/>
    </row>
    <row r="176" spans="35:35" x14ac:dyDescent="0.2">
      <c r="AI176" s="7"/>
    </row>
    <row r="177" spans="35:35" x14ac:dyDescent="0.2">
      <c r="AI177" s="7"/>
    </row>
    <row r="178" spans="35:35" x14ac:dyDescent="0.2">
      <c r="AI178" s="7"/>
    </row>
    <row r="179" spans="35:35" x14ac:dyDescent="0.2">
      <c r="AI179" s="7"/>
    </row>
    <row r="180" spans="35:35" x14ac:dyDescent="0.2">
      <c r="AI180" s="7"/>
    </row>
    <row r="181" spans="35:35" x14ac:dyDescent="0.2">
      <c r="AI181" s="7"/>
    </row>
    <row r="182" spans="35:35" x14ac:dyDescent="0.2">
      <c r="AI182" s="7"/>
    </row>
    <row r="183" spans="35:35" x14ac:dyDescent="0.2">
      <c r="AI183" s="7"/>
    </row>
    <row r="184" spans="35:35" x14ac:dyDescent="0.2">
      <c r="AI184" s="7"/>
    </row>
    <row r="185" spans="35:35" x14ac:dyDescent="0.2">
      <c r="AI185" s="7"/>
    </row>
    <row r="186" spans="35:35" x14ac:dyDescent="0.2">
      <c r="AI186" s="7"/>
    </row>
    <row r="187" spans="35:35" x14ac:dyDescent="0.2">
      <c r="AI187" s="7"/>
    </row>
    <row r="188" spans="35:35" x14ac:dyDescent="0.2">
      <c r="AI188" s="7"/>
    </row>
    <row r="189" spans="35:35" x14ac:dyDescent="0.2">
      <c r="AI189" s="7"/>
    </row>
    <row r="190" spans="35:35" x14ac:dyDescent="0.2">
      <c r="AI190" s="7"/>
    </row>
    <row r="191" spans="35:35" x14ac:dyDescent="0.2">
      <c r="AI191" s="7"/>
    </row>
    <row r="192" spans="35:35" x14ac:dyDescent="0.2">
      <c r="AI192" s="7"/>
    </row>
    <row r="193" spans="35:35" x14ac:dyDescent="0.2">
      <c r="AI193" s="7"/>
    </row>
    <row r="194" spans="35:35" x14ac:dyDescent="0.2">
      <c r="AI194" s="7"/>
    </row>
    <row r="195" spans="35:35" x14ac:dyDescent="0.2">
      <c r="AI195" s="7"/>
    </row>
    <row r="196" spans="35:35" x14ac:dyDescent="0.2">
      <c r="AI196" s="7"/>
    </row>
    <row r="197" spans="35:35" x14ac:dyDescent="0.2">
      <c r="AI197" s="7"/>
    </row>
    <row r="198" spans="35:35" x14ac:dyDescent="0.2">
      <c r="AI198" s="7"/>
    </row>
    <row r="199" spans="35:35" x14ac:dyDescent="0.2">
      <c r="AI199" s="7"/>
    </row>
    <row r="200" spans="35:35" x14ac:dyDescent="0.2">
      <c r="AI200" s="7"/>
    </row>
    <row r="201" spans="35:35" x14ac:dyDescent="0.2">
      <c r="AI201" s="7"/>
    </row>
    <row r="202" spans="35:35" x14ac:dyDescent="0.2">
      <c r="AI202" s="7"/>
    </row>
    <row r="203" spans="35:35" x14ac:dyDescent="0.2">
      <c r="AI203" s="7"/>
    </row>
    <row r="204" spans="35:35" x14ac:dyDescent="0.2">
      <c r="AI204" s="7"/>
    </row>
    <row r="205" spans="35:35" x14ac:dyDescent="0.2">
      <c r="AI205" s="7"/>
    </row>
    <row r="206" spans="35:35" x14ac:dyDescent="0.2">
      <c r="AI206" s="7"/>
    </row>
    <row r="207" spans="35:35" x14ac:dyDescent="0.2">
      <c r="AI207" s="7"/>
    </row>
    <row r="208" spans="35:35" x14ac:dyDescent="0.2">
      <c r="AI208" s="7"/>
    </row>
    <row r="209" spans="35:35" x14ac:dyDescent="0.2">
      <c r="AI209" s="7"/>
    </row>
    <row r="210" spans="35:35" x14ac:dyDescent="0.2">
      <c r="AI210" s="7"/>
    </row>
    <row r="211" spans="35:35" x14ac:dyDescent="0.2">
      <c r="AI211" s="7"/>
    </row>
    <row r="212" spans="35:35" x14ac:dyDescent="0.2">
      <c r="AI212" s="7"/>
    </row>
    <row r="213" spans="35:35" x14ac:dyDescent="0.2">
      <c r="AI213" s="7"/>
    </row>
    <row r="214" spans="35:35" x14ac:dyDescent="0.2">
      <c r="AI214" s="7"/>
    </row>
    <row r="215" spans="35:35" x14ac:dyDescent="0.2">
      <c r="AI215" s="7"/>
    </row>
    <row r="216" spans="35:35" x14ac:dyDescent="0.2">
      <c r="AI216" s="7"/>
    </row>
    <row r="217" spans="35:35" x14ac:dyDescent="0.2">
      <c r="AI217" s="7"/>
    </row>
    <row r="218" spans="35:35" x14ac:dyDescent="0.2">
      <c r="AI218" s="7"/>
    </row>
    <row r="219" spans="35:35" x14ac:dyDescent="0.2">
      <c r="AI219" s="7"/>
    </row>
    <row r="220" spans="35:35" x14ac:dyDescent="0.2">
      <c r="AI220" s="7"/>
    </row>
    <row r="221" spans="35:35" x14ac:dyDescent="0.2">
      <c r="AI221" s="7"/>
    </row>
    <row r="222" spans="35:35" x14ac:dyDescent="0.2">
      <c r="AI222" s="7"/>
    </row>
    <row r="223" spans="35:35" x14ac:dyDescent="0.2">
      <c r="AI223" s="7"/>
    </row>
    <row r="224" spans="35:35" x14ac:dyDescent="0.2">
      <c r="AI224" s="7"/>
    </row>
    <row r="225" spans="35:35" x14ac:dyDescent="0.2">
      <c r="AI225" s="7"/>
    </row>
    <row r="226" spans="35:35" x14ac:dyDescent="0.2">
      <c r="AI226" s="7"/>
    </row>
    <row r="227" spans="35:35" x14ac:dyDescent="0.2">
      <c r="AI227" s="7"/>
    </row>
    <row r="228" spans="35:35" x14ac:dyDescent="0.2">
      <c r="AI228" s="7"/>
    </row>
    <row r="229" spans="35:35" x14ac:dyDescent="0.2">
      <c r="AI229" s="7"/>
    </row>
    <row r="230" spans="35:35" x14ac:dyDescent="0.2">
      <c r="AI230" s="7"/>
    </row>
    <row r="231" spans="35:35" x14ac:dyDescent="0.2">
      <c r="AI231" s="7"/>
    </row>
    <row r="232" spans="35:35" x14ac:dyDescent="0.2">
      <c r="AI232" s="7"/>
    </row>
    <row r="233" spans="35:35" x14ac:dyDescent="0.2">
      <c r="AI233" s="7"/>
    </row>
    <row r="234" spans="35:35" x14ac:dyDescent="0.2">
      <c r="AI234" s="7"/>
    </row>
    <row r="235" spans="35:35" x14ac:dyDescent="0.2">
      <c r="AI235" s="7"/>
    </row>
    <row r="236" spans="35:35" x14ac:dyDescent="0.2">
      <c r="AI236" s="7"/>
    </row>
    <row r="237" spans="35:35" x14ac:dyDescent="0.2">
      <c r="AI237" s="7"/>
    </row>
    <row r="238" spans="35:35" x14ac:dyDescent="0.2">
      <c r="AI238" s="7"/>
    </row>
    <row r="239" spans="35:35" x14ac:dyDescent="0.2">
      <c r="AI239" s="7"/>
    </row>
    <row r="240" spans="35:35" x14ac:dyDescent="0.2">
      <c r="AI240" s="7"/>
    </row>
    <row r="241" spans="35:35" x14ac:dyDescent="0.2">
      <c r="AI241" s="7"/>
    </row>
    <row r="242" spans="35:35" x14ac:dyDescent="0.2">
      <c r="AI242" s="7"/>
    </row>
    <row r="243" spans="35:35" x14ac:dyDescent="0.2">
      <c r="AI243" s="7"/>
    </row>
    <row r="244" spans="35:35" x14ac:dyDescent="0.2">
      <c r="AI244" s="7"/>
    </row>
    <row r="245" spans="35:35" x14ac:dyDescent="0.2">
      <c r="AI245" s="7"/>
    </row>
    <row r="246" spans="35:35" x14ac:dyDescent="0.2">
      <c r="AI246" s="7"/>
    </row>
    <row r="247" spans="35:35" x14ac:dyDescent="0.2">
      <c r="AI247" s="7"/>
    </row>
    <row r="248" spans="35:35" x14ac:dyDescent="0.2">
      <c r="AI248" s="7"/>
    </row>
    <row r="249" spans="35:35" x14ac:dyDescent="0.2">
      <c r="AI249" s="7"/>
    </row>
    <row r="250" spans="35:35" x14ac:dyDescent="0.2">
      <c r="AI250" s="7"/>
    </row>
    <row r="251" spans="35:35" x14ac:dyDescent="0.2">
      <c r="AI251" s="7"/>
    </row>
    <row r="252" spans="35:35" x14ac:dyDescent="0.2">
      <c r="AI252" s="7"/>
    </row>
    <row r="253" spans="35:35" x14ac:dyDescent="0.2">
      <c r="AI253" s="7"/>
    </row>
    <row r="254" spans="35:35" x14ac:dyDescent="0.2">
      <c r="AI254" s="7"/>
    </row>
    <row r="255" spans="35:35" x14ac:dyDescent="0.2">
      <c r="AI255" s="7"/>
    </row>
    <row r="256" spans="35:35" x14ac:dyDescent="0.2">
      <c r="AI256" s="7"/>
    </row>
    <row r="257" spans="35:35" x14ac:dyDescent="0.2">
      <c r="AI257" s="7"/>
    </row>
    <row r="258" spans="35:35" x14ac:dyDescent="0.2">
      <c r="AI258" s="7"/>
    </row>
    <row r="259" spans="35:35" x14ac:dyDescent="0.2">
      <c r="AI259" s="7"/>
    </row>
    <row r="260" spans="35:35" x14ac:dyDescent="0.2">
      <c r="AI260" s="7"/>
    </row>
    <row r="261" spans="35:35" x14ac:dyDescent="0.2">
      <c r="AI261" s="7"/>
    </row>
    <row r="262" spans="35:35" x14ac:dyDescent="0.2">
      <c r="AI262" s="7"/>
    </row>
    <row r="263" spans="35:35" x14ac:dyDescent="0.2">
      <c r="AI263" s="7"/>
    </row>
    <row r="264" spans="35:35" x14ac:dyDescent="0.2">
      <c r="AI264" s="7"/>
    </row>
    <row r="265" spans="35:35" x14ac:dyDescent="0.2">
      <c r="AI265" s="7"/>
    </row>
    <row r="266" spans="35:35" x14ac:dyDescent="0.2">
      <c r="AI266" s="7"/>
    </row>
    <row r="267" spans="35:35" x14ac:dyDescent="0.2">
      <c r="AI267" s="7"/>
    </row>
    <row r="268" spans="35:35" x14ac:dyDescent="0.2">
      <c r="AI268" s="7"/>
    </row>
    <row r="269" spans="35:35" x14ac:dyDescent="0.2">
      <c r="AI269" s="7"/>
    </row>
    <row r="270" spans="35:35" x14ac:dyDescent="0.2">
      <c r="AI270" s="7"/>
    </row>
    <row r="271" spans="35:35" x14ac:dyDescent="0.2">
      <c r="AI271" s="7"/>
    </row>
    <row r="272" spans="35:35" x14ac:dyDescent="0.2">
      <c r="AI272" s="7"/>
    </row>
    <row r="273" spans="35:35" x14ac:dyDescent="0.2">
      <c r="AI273" s="7"/>
    </row>
    <row r="274" spans="35:35" x14ac:dyDescent="0.2">
      <c r="AI274" s="7"/>
    </row>
    <row r="275" spans="35:35" x14ac:dyDescent="0.2">
      <c r="AI275" s="7"/>
    </row>
    <row r="276" spans="35:35" x14ac:dyDescent="0.2">
      <c r="AI276" s="7"/>
    </row>
    <row r="277" spans="35:35" x14ac:dyDescent="0.2">
      <c r="AI277" s="7"/>
    </row>
    <row r="278" spans="35:35" x14ac:dyDescent="0.2">
      <c r="AI278" s="7"/>
    </row>
    <row r="279" spans="35:35" x14ac:dyDescent="0.2">
      <c r="AI279" s="7"/>
    </row>
    <row r="280" spans="35:35" x14ac:dyDescent="0.2">
      <c r="AI280" s="7"/>
    </row>
    <row r="281" spans="35:35" x14ac:dyDescent="0.2">
      <c r="AI281" s="7"/>
    </row>
    <row r="282" spans="35:35" x14ac:dyDescent="0.2">
      <c r="AI282" s="7"/>
    </row>
    <row r="283" spans="35:35" x14ac:dyDescent="0.2">
      <c r="AI283" s="7"/>
    </row>
    <row r="284" spans="35:35" x14ac:dyDescent="0.2">
      <c r="AI284" s="7"/>
    </row>
    <row r="285" spans="35:35" x14ac:dyDescent="0.2">
      <c r="AI285" s="7"/>
    </row>
    <row r="286" spans="35:35" x14ac:dyDescent="0.2">
      <c r="AI286" s="7"/>
    </row>
    <row r="287" spans="35:35" x14ac:dyDescent="0.2">
      <c r="AI287" s="7"/>
    </row>
    <row r="288" spans="35:35" x14ac:dyDescent="0.2">
      <c r="AI288" s="7"/>
    </row>
    <row r="289" spans="35:35" x14ac:dyDescent="0.2">
      <c r="AI289" s="7"/>
    </row>
    <row r="290" spans="35:35" x14ac:dyDescent="0.2">
      <c r="AI290" s="7"/>
    </row>
    <row r="291" spans="35:35" x14ac:dyDescent="0.2">
      <c r="AI291" s="7"/>
    </row>
    <row r="292" spans="35:35" x14ac:dyDescent="0.2">
      <c r="AI292" s="7"/>
    </row>
    <row r="293" spans="35:35" x14ac:dyDescent="0.2">
      <c r="AI293" s="7"/>
    </row>
    <row r="294" spans="35:35" x14ac:dyDescent="0.2">
      <c r="AI294" s="7"/>
    </row>
    <row r="295" spans="35:35" x14ac:dyDescent="0.2">
      <c r="AI295" s="7"/>
    </row>
    <row r="296" spans="35:35" x14ac:dyDescent="0.2">
      <c r="AI296" s="7"/>
    </row>
    <row r="297" spans="35:35" x14ac:dyDescent="0.2">
      <c r="AI297" s="7"/>
    </row>
    <row r="298" spans="35:35" x14ac:dyDescent="0.2">
      <c r="AI298" s="7"/>
    </row>
    <row r="299" spans="35:35" x14ac:dyDescent="0.2">
      <c r="AI299" s="7"/>
    </row>
    <row r="300" spans="35:35" x14ac:dyDescent="0.2">
      <c r="AI300" s="7"/>
    </row>
    <row r="301" spans="35:35" x14ac:dyDescent="0.2">
      <c r="AI301" s="7"/>
    </row>
    <row r="302" spans="35:35" x14ac:dyDescent="0.2">
      <c r="AI302" s="7"/>
    </row>
    <row r="303" spans="35:35" x14ac:dyDescent="0.2">
      <c r="AI303" s="7"/>
    </row>
    <row r="304" spans="35:35" x14ac:dyDescent="0.2">
      <c r="AI304" s="7"/>
    </row>
    <row r="305" spans="35:35" x14ac:dyDescent="0.2">
      <c r="AI305" s="7"/>
    </row>
    <row r="306" spans="35:35" x14ac:dyDescent="0.2">
      <c r="AI306" s="7"/>
    </row>
    <row r="307" spans="35:35" x14ac:dyDescent="0.2">
      <c r="AI307" s="7"/>
    </row>
    <row r="308" spans="35:35" x14ac:dyDescent="0.2">
      <c r="AI308" s="7"/>
    </row>
    <row r="309" spans="35:35" x14ac:dyDescent="0.2">
      <c r="AI309" s="7"/>
    </row>
    <row r="310" spans="35:35" x14ac:dyDescent="0.2">
      <c r="AI310" s="7"/>
    </row>
    <row r="311" spans="35:35" x14ac:dyDescent="0.2">
      <c r="AI311" s="7"/>
    </row>
    <row r="312" spans="35:35" x14ac:dyDescent="0.2">
      <c r="AI312" s="7"/>
    </row>
    <row r="313" spans="35:35" x14ac:dyDescent="0.2">
      <c r="AI313" s="7"/>
    </row>
    <row r="314" spans="35:35" x14ac:dyDescent="0.2">
      <c r="AI314" s="7"/>
    </row>
    <row r="315" spans="35:35" x14ac:dyDescent="0.2">
      <c r="AI315" s="7"/>
    </row>
    <row r="316" spans="35:35" x14ac:dyDescent="0.2">
      <c r="AI316" s="7"/>
    </row>
    <row r="317" spans="35:35" x14ac:dyDescent="0.2">
      <c r="AI317" s="7"/>
    </row>
    <row r="318" spans="35:35" x14ac:dyDescent="0.2">
      <c r="AI318" s="7"/>
    </row>
    <row r="319" spans="35:35" x14ac:dyDescent="0.2">
      <c r="AI319" s="7"/>
    </row>
    <row r="320" spans="35:35" x14ac:dyDescent="0.2">
      <c r="AI320" s="7"/>
    </row>
    <row r="321" spans="35:35" x14ac:dyDescent="0.2">
      <c r="AI321" s="7"/>
    </row>
    <row r="322" spans="35:35" x14ac:dyDescent="0.2">
      <c r="AI322" s="7"/>
    </row>
    <row r="323" spans="35:35" x14ac:dyDescent="0.2">
      <c r="AI323" s="7"/>
    </row>
    <row r="324" spans="35:35" x14ac:dyDescent="0.2">
      <c r="AI324" s="7"/>
    </row>
    <row r="325" spans="35:35" x14ac:dyDescent="0.2">
      <c r="AI325" s="7"/>
    </row>
    <row r="326" spans="35:35" x14ac:dyDescent="0.2">
      <c r="AI326" s="7"/>
    </row>
    <row r="327" spans="35:35" x14ac:dyDescent="0.2">
      <c r="AI327" s="7"/>
    </row>
    <row r="328" spans="35:35" x14ac:dyDescent="0.2">
      <c r="AI328" s="7"/>
    </row>
    <row r="329" spans="35:35" x14ac:dyDescent="0.2">
      <c r="AI329" s="7"/>
    </row>
    <row r="330" spans="35:35" x14ac:dyDescent="0.2">
      <c r="AI330" s="7"/>
    </row>
    <row r="331" spans="35:35" x14ac:dyDescent="0.2">
      <c r="AI331" s="7"/>
    </row>
    <row r="332" spans="35:35" x14ac:dyDescent="0.2">
      <c r="AI332" s="7"/>
    </row>
    <row r="333" spans="35:35" x14ac:dyDescent="0.2">
      <c r="AI333" s="7"/>
    </row>
    <row r="334" spans="35:35" x14ac:dyDescent="0.2">
      <c r="AI334" s="7"/>
    </row>
    <row r="335" spans="35:35" x14ac:dyDescent="0.2">
      <c r="AI335" s="7"/>
    </row>
    <row r="336" spans="35:35" x14ac:dyDescent="0.2">
      <c r="AI336" s="7"/>
    </row>
    <row r="337" spans="35:35" x14ac:dyDescent="0.2">
      <c r="AI337" s="7"/>
    </row>
    <row r="338" spans="35:35" x14ac:dyDescent="0.2">
      <c r="AI338" s="7"/>
    </row>
    <row r="339" spans="35:35" x14ac:dyDescent="0.2">
      <c r="AI339" s="7"/>
    </row>
  </sheetData>
  <mergeCells count="5">
    <mergeCell ref="AE1:AK1"/>
    <mergeCell ref="A1:H1"/>
    <mergeCell ref="I1:O1"/>
    <mergeCell ref="P1:V1"/>
    <mergeCell ref="X1:AD1"/>
  </mergeCells>
  <phoneticPr fontId="0" type="noConversion"/>
  <printOptions horizontalCentered="1"/>
  <pageMargins left="0.27559055118110237" right="0.55118110236220474" top="0.74803149606299213" bottom="0.62992125984251968" header="0.27559055118110237" footer="0.27559055118110237"/>
  <pageSetup paperSize="9" orientation="landscape"/>
  <headerFooter alignWithMargins="0">
    <oddHeader xml:space="preserve">&amp;C&amp;16Antal donatorer och transplantationer utförda i Sverige&amp;R&amp;11 2023-03-31 
</oddHeader>
    <oddFooter>&amp;CSida 1</oddFooter>
  </headerFooter>
  <colBreaks count="1" manualBreakCount="1">
    <brk id="2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tsdokument (DOC)" ma:contentTypeID="0x01010007A13FA93AA00D408156A4014A3833CE0064FFAEF171D2EE43828FFCE661A48E69" ma:contentTypeVersion="9" ma:contentTypeDescription="" ma:contentTypeScope="" ma:versionID="cc56b781ace98651e49fbc7229f80f5d">
  <xsd:schema xmlns:xsd="http://www.w3.org/2001/XMLSchema" xmlns:xs="http://www.w3.org/2001/XMLSchema" xmlns:p="http://schemas.microsoft.com/office/2006/metadata/properties" xmlns:ns2="91c150ce-32fc-4127-8d2f-4697f690a159" xmlns:ns3="990eedb6-a602-4be8-96aa-3aac981b49dc" targetNamespace="http://schemas.microsoft.com/office/2006/metadata/properties" ma:root="true" ma:fieldsID="75cf64bc113ef459fcaba6d7b5ed3e82" ns2:_="" ns3:_="">
    <xsd:import namespace="91c150ce-32fc-4127-8d2f-4697f690a159"/>
    <xsd:import namespace="990eedb6-a602-4be8-96aa-3aac981b49dc"/>
    <xsd:element name="properties">
      <xsd:complexType>
        <xsd:sequence>
          <xsd:element name="documentManagement">
            <xsd:complexType>
              <xsd:all>
                <xsd:element ref="ns2:be5205622acf441c86b4a77ebd241bc1" minOccurs="0"/>
                <xsd:element ref="ns3:TaxCatchAll" minOccurs="0"/>
                <xsd:element ref="ns3:TaxCatchAllLabel" minOccurs="0"/>
                <xsd:element ref="ns2:k068669e5f034796832dce74b4c0abf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c150ce-32fc-4127-8d2f-4697f690a159" elementFormDefault="qualified">
    <xsd:import namespace="http://schemas.microsoft.com/office/2006/documentManagement/types"/>
    <xsd:import namespace="http://schemas.microsoft.com/office/infopath/2007/PartnerControls"/>
    <xsd:element name="be5205622acf441c86b4a77ebd241bc1" ma:index="8" ma:taxonomy="true" ma:internalName="be5205622acf441c86b4a77ebd241bc1" ma:taxonomyFieldName="Organisation" ma:displayName="Organisation" ma:readOnly="false" ma:default="1;#Ej vald organisation|7a13eefe-cea3-41d2-a728-e7ae59f6be93" ma:fieldId="{be520562-2acf-441c-86b4-a77ebd241bc1}" ma:sspId="51075df5-739c-4fbe-9e3d-72f9ea16ae07" ma:termSetId="29ba3c25-b980-41d9-a85c-e7b81eb470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068669e5f034796832dce74b4c0abf0" ma:index="13" nillable="true" ma:taxonomy="true" ma:internalName="k068669e5f034796832dce74b4c0abf0" ma:taxonomyFieldName="Dokumentkategori" ma:displayName="Dokumentkategori" ma:default="" ma:fieldId="{4068669e-5f03-4796-832d-ce74b4c0abf0}" ma:sspId="51075df5-739c-4fbe-9e3d-72f9ea16ae07" ma:termSetId="02ca8c7c-fae0-435d-ac85-b0753d6ec22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eedb6-a602-4be8-96aa-3aac981b49dc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Global taxonomikolumn" ma:description="" ma:hidden="true" ma:list="{65bb5440-f53e-435c-8028-c29c02df4ee7}" ma:internalName="TaxCatchAll" ma:showField="CatchAllData" ma:web="990eedb6-a602-4be8-96aa-3aac981b49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Global taxonomikolumn1" ma:description="" ma:hidden="true" ma:list="{65bb5440-f53e-435c-8028-c29c02df4ee7}" ma:internalName="TaxCatchAllLabel" ma:readOnly="true" ma:showField="CatchAllDataLabel" ma:web="990eedb6-a602-4be8-96aa-3aac981b49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068669e5f034796832dce74b4c0abf0 xmlns="91c150ce-32fc-4127-8d2f-4697f690a159">
      <Terms xmlns="http://schemas.microsoft.com/office/infopath/2007/PartnerControls"/>
    </k068669e5f034796832dce74b4c0abf0>
    <be5205622acf441c86b4a77ebd241bc1 xmlns="91c150ce-32fc-4127-8d2f-4697f690a15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Ej vald organisation</TermName>
          <TermId xmlns="http://schemas.microsoft.com/office/infopath/2007/PartnerControls">3822ec8b-2f35-484d-98a2-3cd415564d7c</TermId>
        </TermInfo>
      </Terms>
    </be5205622acf441c86b4a77ebd241bc1>
    <TaxCatchAll xmlns="990eedb6-a602-4be8-96aa-3aac981b49dc">
      <Value>3</Value>
    </TaxCatchAll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ABC3D1C-48A2-4C6C-AB4D-4978DE7134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C66D0C-2864-4FB4-8AAD-E400929DB5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c150ce-32fc-4127-8d2f-4697f690a159"/>
    <ds:schemaRef ds:uri="990eedb6-a602-4be8-96aa-3aac981b49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AF762E-5907-44E6-AB4F-D5E9E67ABE6F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91c150ce-32fc-4127-8d2f-4697f690a159"/>
    <ds:schemaRef ds:uri="http://purl.org/dc/dcmitype/"/>
    <ds:schemaRef ds:uri="990eedb6-a602-4be8-96aa-3aac981b49dc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EF17A35B-FEAC-4104-A106-B3D88224CD8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18</vt:i4>
      </vt:variant>
      <vt:variant>
        <vt:lpstr>Namngivna områden</vt:lpstr>
      </vt:variant>
      <vt:variant>
        <vt:i4>15</vt:i4>
      </vt:variant>
    </vt:vector>
  </HeadingPairs>
  <TitlesOfParts>
    <vt:vector size="33" baseType="lpstr">
      <vt:lpstr>Försätt</vt:lpstr>
      <vt:lpstr>Inv</vt:lpstr>
      <vt:lpstr>Reg.indeln</vt:lpstr>
      <vt:lpstr>Tot</vt:lpstr>
      <vt:lpstr>Don-AD</vt:lpstr>
      <vt:lpstr>Don AD PMI+per 10000 avl</vt:lpstr>
      <vt:lpstr>Don-LD</vt:lpstr>
      <vt:lpstr>Nj</vt:lpstr>
      <vt:lpstr>Nj-AD+LD</vt:lpstr>
      <vt:lpstr>Pa</vt:lpstr>
      <vt:lpstr>P-öar</vt:lpstr>
      <vt:lpstr>Le</vt:lpstr>
      <vt:lpstr>Le-AD+LD+Dom</vt:lpstr>
      <vt:lpstr>Hj</vt:lpstr>
      <vt:lpstr>Lu</vt:lpstr>
      <vt:lpstr>Lu-SL+DL</vt:lpstr>
      <vt:lpstr>Hj-Lu</vt:lpstr>
      <vt:lpstr>Tarm</vt:lpstr>
      <vt:lpstr>'Don AD PMI+per 10000 avl'!Utskriftsrubriker</vt:lpstr>
      <vt:lpstr>'Don-AD'!Utskriftsrubriker</vt:lpstr>
      <vt:lpstr>'Don-LD'!Utskriftsrubriker</vt:lpstr>
      <vt:lpstr>Hj!Utskriftsrubriker</vt:lpstr>
      <vt:lpstr>'Hj-Lu'!Utskriftsrubriker</vt:lpstr>
      <vt:lpstr>Le!Utskriftsrubriker</vt:lpstr>
      <vt:lpstr>'Le-AD+LD+Dom'!Utskriftsrubriker</vt:lpstr>
      <vt:lpstr>Lu!Utskriftsrubriker</vt:lpstr>
      <vt:lpstr>'Lu-SL+DL'!Utskriftsrubriker</vt:lpstr>
      <vt:lpstr>Nj!Utskriftsrubriker</vt:lpstr>
      <vt:lpstr>'Nj-AD+LD'!Utskriftsrubriker</vt:lpstr>
      <vt:lpstr>Pa!Utskriftsrubriker</vt:lpstr>
      <vt:lpstr>'P-öar'!Utskriftsrubriker</vt:lpstr>
      <vt:lpstr>Tarm!Utskriftsrubriker</vt:lpstr>
      <vt:lpstr>Tot!Utskriftsrubriker</vt:lpstr>
    </vt:vector>
  </TitlesOfParts>
  <Company>SLL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anncro</dc:creator>
  <cp:lastModifiedBy>Kristin Persson</cp:lastModifiedBy>
  <cp:lastPrinted>2023-01-10T10:12:38Z</cp:lastPrinted>
  <dcterms:created xsi:type="dcterms:W3CDTF">2004-08-22T09:57:56Z</dcterms:created>
  <dcterms:modified xsi:type="dcterms:W3CDTF">2025-01-08T08:02:29Z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ganisation">
    <vt:lpwstr>3;#Ej vald organisation|3822ec8b-2f35-484d-98a2-3cd415564d7c</vt:lpwstr>
  </property>
  <property fmtid="{D5CDD505-2E9C-101B-9397-08002B2CF9AE}" pid="3" name="display_urn:schemas-microsoft-com:office:office#Editor">
    <vt:lpwstr>Ann-Christin Croon(1dvf)</vt:lpwstr>
  </property>
  <property fmtid="{D5CDD505-2E9C-101B-9397-08002B2CF9AE}" pid="4" name="display_urn:schemas-microsoft-com:office:office#Author">
    <vt:lpwstr>Lit_svc_sp_install</vt:lpwstr>
  </property>
  <property fmtid="{D5CDD505-2E9C-101B-9397-08002B2CF9AE}" pid="5" name="Dokumentkategori">
    <vt:lpwstr/>
  </property>
</Properties>
</file>